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bookViews>
    <workbookView xWindow="-12" yWindow="-12" windowWidth="12600" windowHeight="12432" activeTab="1"/>
  </bookViews>
  <sheets>
    <sheet name="Cover" sheetId="12" r:id="rId1"/>
    <sheet name="Calculator" sheetId="7" r:id="rId2"/>
    <sheet name="PPS Data" sheetId="4" r:id="rId3"/>
    <sheet name="Explanation" sheetId="13" r:id="rId4"/>
    <sheet name="Workings" sheetId="5" r:id="rId5"/>
  </sheets>
  <externalReferences>
    <externalReference r:id="rId6"/>
    <externalReference r:id="rId7"/>
  </externalReferences>
  <definedNames>
    <definedName name="nPopn">[1]Start!$X$30:$AX$40</definedName>
    <definedName name="Popn">[2]Start!$A$30:$V$40</definedName>
    <definedName name="_xlnm.Print_Area" localSheetId="1">Calculator!$A$1:$I$63</definedName>
    <definedName name="_xlnm.Print_Area" localSheetId="0">Cover!$A$1:$C$5</definedName>
    <definedName name="_xlnm.Print_Area" localSheetId="3">Explanation!$A$1:$D$45</definedName>
    <definedName name="_xlnm.Print_Area" localSheetId="2">'PPS Data'!$A$1:$H$36</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74" i="5" l="1"/>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M31" i="5"/>
  <c r="F31" i="5"/>
  <c r="H31" i="5" s="1"/>
  <c r="E31" i="5"/>
  <c r="M30" i="5"/>
  <c r="H30" i="5"/>
  <c r="L30" i="5" s="1"/>
  <c r="F30" i="5"/>
  <c r="E30" i="5"/>
  <c r="M29" i="5"/>
  <c r="E29" i="5"/>
  <c r="F29" i="5" s="1"/>
  <c r="H29" i="5" s="1"/>
  <c r="Q28" i="5"/>
  <c r="AA28" i="5" s="1"/>
  <c r="M28" i="5"/>
  <c r="F28" i="5"/>
  <c r="H28" i="5" s="1"/>
  <c r="E28" i="5"/>
  <c r="M27" i="5"/>
  <c r="H27" i="5"/>
  <c r="L27" i="5" s="1"/>
  <c r="F27" i="5"/>
  <c r="E27" i="5"/>
  <c r="M26" i="5"/>
  <c r="I26" i="5"/>
  <c r="K26" i="5" s="1"/>
  <c r="N26" i="5" s="1"/>
  <c r="P26" i="5" s="1"/>
  <c r="H26" i="5"/>
  <c r="L26" i="5" s="1"/>
  <c r="E26" i="5"/>
  <c r="F26" i="5" s="1"/>
  <c r="M25" i="5"/>
  <c r="K25" i="5"/>
  <c r="N25" i="5" s="1"/>
  <c r="P25" i="5" s="1"/>
  <c r="I25" i="5"/>
  <c r="H25" i="5"/>
  <c r="L25" i="5" s="1"/>
  <c r="E25" i="5"/>
  <c r="F25" i="5" s="1"/>
  <c r="M24" i="5"/>
  <c r="L24" i="5"/>
  <c r="H24" i="5"/>
  <c r="I24" i="5" s="1"/>
  <c r="K24" i="5" s="1"/>
  <c r="N24" i="5" s="1"/>
  <c r="P24" i="5" s="1"/>
  <c r="F24" i="5"/>
  <c r="E24" i="5"/>
  <c r="M23" i="5"/>
  <c r="E23" i="5"/>
  <c r="F23" i="5" s="1"/>
  <c r="H23" i="5" s="1"/>
  <c r="M22" i="5"/>
  <c r="E22" i="5"/>
  <c r="F22" i="5" s="1"/>
  <c r="H22" i="5" s="1"/>
  <c r="M21" i="5"/>
  <c r="L21" i="5"/>
  <c r="H21" i="5"/>
  <c r="I21" i="5" s="1"/>
  <c r="K21" i="5" s="1"/>
  <c r="N21" i="5" s="1"/>
  <c r="P21" i="5" s="1"/>
  <c r="F21" i="5"/>
  <c r="E21" i="5"/>
  <c r="M20" i="5"/>
  <c r="H20" i="5"/>
  <c r="L20" i="5" s="1"/>
  <c r="F20" i="5"/>
  <c r="E20" i="5"/>
  <c r="M19" i="5"/>
  <c r="I19" i="5"/>
  <c r="K19" i="5" s="1"/>
  <c r="N19" i="5" s="1"/>
  <c r="P19" i="5" s="1"/>
  <c r="H19" i="5"/>
  <c r="L19" i="5" s="1"/>
  <c r="F19" i="5"/>
  <c r="E19" i="5"/>
  <c r="M18" i="5"/>
  <c r="F18" i="5"/>
  <c r="H18" i="5" s="1"/>
  <c r="E18" i="5"/>
  <c r="M17" i="5"/>
  <c r="H17" i="5"/>
  <c r="L17" i="5" s="1"/>
  <c r="F17" i="5"/>
  <c r="E17" i="5"/>
  <c r="M16" i="5"/>
  <c r="E16" i="5"/>
  <c r="F16" i="5" s="1"/>
  <c r="H16" i="5" s="1"/>
  <c r="M15" i="5"/>
  <c r="E15" i="5"/>
  <c r="F15" i="5" s="1"/>
  <c r="H15" i="5" s="1"/>
  <c r="M14" i="5"/>
  <c r="E14" i="5"/>
  <c r="F14" i="5" s="1"/>
  <c r="H14" i="5" s="1"/>
  <c r="M13" i="5"/>
  <c r="F13" i="5"/>
  <c r="H13" i="5" s="1"/>
  <c r="E13" i="5"/>
  <c r="M12" i="5"/>
  <c r="F12" i="5"/>
  <c r="H12" i="5" s="1"/>
  <c r="E12" i="5"/>
  <c r="M11" i="5"/>
  <c r="H11" i="5"/>
  <c r="L11" i="5" s="1"/>
  <c r="F11" i="5"/>
  <c r="E11" i="5"/>
  <c r="M10" i="5"/>
  <c r="E10" i="5"/>
  <c r="F10" i="5" s="1"/>
  <c r="H10" i="5" s="1"/>
  <c r="M9" i="5"/>
  <c r="E9" i="5"/>
  <c r="F9" i="5" s="1"/>
  <c r="H9" i="5" s="1"/>
  <c r="M8" i="5"/>
  <c r="E8" i="5"/>
  <c r="F8" i="5" s="1"/>
  <c r="H8" i="5" s="1"/>
  <c r="M7" i="5"/>
  <c r="F7" i="5"/>
  <c r="H7" i="5" s="1"/>
  <c r="E7" i="5"/>
  <c r="M6" i="5"/>
  <c r="F6" i="5"/>
  <c r="H6" i="5" s="1"/>
  <c r="E6" i="5"/>
  <c r="D8" i="4"/>
  <c r="C8" i="4"/>
  <c r="E14" i="7"/>
  <c r="D14" i="7"/>
  <c r="L29" i="5" l="1"/>
  <c r="I29" i="5"/>
  <c r="K29" i="5" s="1"/>
  <c r="N29" i="5" s="1"/>
  <c r="P29" i="5" s="1"/>
  <c r="I13" i="5"/>
  <c r="K13" i="5" s="1"/>
  <c r="N13" i="5" s="1"/>
  <c r="P13" i="5" s="1"/>
  <c r="L13" i="5"/>
  <c r="L14" i="5"/>
  <c r="I14" i="5"/>
  <c r="K14" i="5" s="1"/>
  <c r="N14" i="5" s="1"/>
  <c r="L23" i="5"/>
  <c r="I23" i="5"/>
  <c r="K23" i="5" s="1"/>
  <c r="N23" i="5" s="1"/>
  <c r="I7" i="5"/>
  <c r="K7" i="5" s="1"/>
  <c r="N7" i="5" s="1"/>
  <c r="P7" i="5" s="1"/>
  <c r="L7" i="5"/>
  <c r="L8" i="5"/>
  <c r="I8" i="5"/>
  <c r="K8" i="5" s="1"/>
  <c r="N8" i="5" s="1"/>
  <c r="L9" i="5"/>
  <c r="I9" i="5"/>
  <c r="K9" i="5" s="1"/>
  <c r="N9" i="5" s="1"/>
  <c r="P9" i="5" s="1"/>
  <c r="L15" i="5"/>
  <c r="I15" i="5"/>
  <c r="K15" i="5" s="1"/>
  <c r="N15" i="5" s="1"/>
  <c r="P15" i="5" s="1"/>
  <c r="L28" i="5"/>
  <c r="I28" i="5"/>
  <c r="K28" i="5" s="1"/>
  <c r="N28" i="5" s="1"/>
  <c r="I6" i="5"/>
  <c r="K6" i="5" s="1"/>
  <c r="N6" i="5" s="1"/>
  <c r="L6" i="5"/>
  <c r="I12" i="5"/>
  <c r="K12" i="5" s="1"/>
  <c r="N12" i="5" s="1"/>
  <c r="L12" i="5"/>
  <c r="I18" i="5"/>
  <c r="K18" i="5" s="1"/>
  <c r="N18" i="5" s="1"/>
  <c r="L18" i="5"/>
  <c r="L22" i="5"/>
  <c r="I22" i="5"/>
  <c r="K22" i="5" s="1"/>
  <c r="N22" i="5" s="1"/>
  <c r="P22" i="5" s="1"/>
  <c r="L10" i="5"/>
  <c r="I10" i="5"/>
  <c r="K10" i="5" s="1"/>
  <c r="N10" i="5" s="1"/>
  <c r="P10" i="5" s="1"/>
  <c r="L16" i="5"/>
  <c r="I16" i="5"/>
  <c r="K16" i="5" s="1"/>
  <c r="N16" i="5" s="1"/>
  <c r="P16" i="5" s="1"/>
  <c r="AD28" i="5"/>
  <c r="AC28" i="5"/>
  <c r="AE28" i="5" s="1"/>
  <c r="G59" i="7" s="1"/>
  <c r="E59" i="7"/>
  <c r="L31" i="5"/>
  <c r="I31" i="5"/>
  <c r="K31" i="5" s="1"/>
  <c r="N31" i="5" s="1"/>
  <c r="P31" i="5" s="1"/>
  <c r="I20" i="5"/>
  <c r="K20" i="5" s="1"/>
  <c r="N20" i="5" s="1"/>
  <c r="P20" i="5" s="1"/>
  <c r="I27" i="5"/>
  <c r="K27" i="5" s="1"/>
  <c r="N27" i="5" s="1"/>
  <c r="P27" i="5" s="1"/>
  <c r="C59" i="7"/>
  <c r="I11" i="5"/>
  <c r="K11" i="5" s="1"/>
  <c r="N11" i="5" s="1"/>
  <c r="P11" i="5" s="1"/>
  <c r="I17" i="5"/>
  <c r="K17" i="5" s="1"/>
  <c r="N17" i="5" s="1"/>
  <c r="P17" i="5" s="1"/>
  <c r="I30" i="5"/>
  <c r="K30" i="5" s="1"/>
  <c r="N30" i="5" s="1"/>
  <c r="P30" i="5" s="1"/>
  <c r="D20" i="7" l="1"/>
  <c r="P18" i="5"/>
  <c r="P14" i="5"/>
  <c r="D25" i="7"/>
  <c r="P8" i="5"/>
  <c r="D17" i="7"/>
  <c r="D18" i="7"/>
  <c r="P12" i="5"/>
  <c r="N32" i="5"/>
  <c r="P6" i="5"/>
  <c r="D16" i="7"/>
  <c r="D21" i="7"/>
  <c r="P23" i="5"/>
  <c r="P28" i="5"/>
  <c r="D23" i="7"/>
  <c r="T12" i="5" l="1"/>
  <c r="Q12" i="5"/>
  <c r="C37" i="7"/>
  <c r="C42" i="7"/>
  <c r="T28" i="5"/>
  <c r="C40" i="7"/>
  <c r="T23" i="5"/>
  <c r="Q23" i="5"/>
  <c r="Q8" i="5"/>
  <c r="C36" i="7"/>
  <c r="T8" i="5"/>
  <c r="Q14" i="5"/>
  <c r="C44" i="7"/>
  <c r="T14" i="5"/>
  <c r="P32" i="5"/>
  <c r="C33" i="7" s="1"/>
  <c r="T6" i="5"/>
  <c r="Q6" i="5"/>
  <c r="C35" i="7"/>
  <c r="T18" i="5"/>
  <c r="C39" i="7"/>
  <c r="Q18" i="5"/>
  <c r="Q32" i="5" l="1"/>
  <c r="C50" i="7" s="1"/>
  <c r="C52" i="7"/>
  <c r="AA6" i="5"/>
  <c r="W12" i="5"/>
  <c r="V12" i="5"/>
  <c r="E37" i="7"/>
  <c r="T32" i="5"/>
  <c r="E33" i="7" s="1"/>
  <c r="W6" i="5"/>
  <c r="V6" i="5"/>
  <c r="E35" i="7"/>
  <c r="W23" i="5"/>
  <c r="V23" i="5"/>
  <c r="X23" i="5" s="1"/>
  <c r="G40" i="7" s="1"/>
  <c r="E40" i="7"/>
  <c r="C53" i="7"/>
  <c r="AA8" i="5"/>
  <c r="AA23" i="5"/>
  <c r="C57" i="7"/>
  <c r="E44" i="7"/>
  <c r="W14" i="5"/>
  <c r="V14" i="5"/>
  <c r="X14" i="5" s="1"/>
  <c r="G44" i="7" s="1"/>
  <c r="E42" i="7"/>
  <c r="W28" i="5"/>
  <c r="V28" i="5"/>
  <c r="X28" i="5" s="1"/>
  <c r="G42" i="7" s="1"/>
  <c r="C56" i="7"/>
  <c r="AA18" i="5"/>
  <c r="C61" i="7"/>
  <c r="AA14" i="5"/>
  <c r="W18" i="5"/>
  <c r="V18" i="5"/>
  <c r="X18" i="5" s="1"/>
  <c r="G39" i="7" s="1"/>
  <c r="E39" i="7"/>
  <c r="W8" i="5"/>
  <c r="V8" i="5"/>
  <c r="E36" i="7"/>
  <c r="C54" i="7"/>
  <c r="AA12" i="5"/>
  <c r="X8" i="5" l="1"/>
  <c r="G36" i="7" s="1"/>
  <c r="AC23" i="5"/>
  <c r="AD23" i="5"/>
  <c r="E57" i="7"/>
  <c r="W32" i="5"/>
  <c r="X12" i="5"/>
  <c r="G37" i="7" s="1"/>
  <c r="AD8" i="5"/>
  <c r="AC8" i="5"/>
  <c r="E53" i="7"/>
  <c r="AD12" i="5"/>
  <c r="E54" i="7"/>
  <c r="AC12" i="5"/>
  <c r="AE12" i="5" s="1"/>
  <c r="G54" i="7" s="1"/>
  <c r="E61" i="7"/>
  <c r="AD14" i="5"/>
  <c r="AC14" i="5"/>
  <c r="AE14" i="5" s="1"/>
  <c r="G61" i="7" s="1"/>
  <c r="E52" i="7"/>
  <c r="AA32" i="5"/>
  <c r="E50" i="7" s="1"/>
  <c r="AD6" i="5"/>
  <c r="AC6" i="5"/>
  <c r="E56" i="7"/>
  <c r="AD18" i="5"/>
  <c r="AC18" i="5"/>
  <c r="V32" i="5"/>
  <c r="X6" i="5"/>
  <c r="AC32" i="5" l="1"/>
  <c r="AE6" i="5"/>
  <c r="G35" i="7"/>
  <c r="X32" i="5"/>
  <c r="G33" i="7" s="1"/>
  <c r="AE8" i="5"/>
  <c r="G53" i="7" s="1"/>
  <c r="AD32" i="5"/>
  <c r="AE23" i="5"/>
  <c r="G57" i="7" s="1"/>
  <c r="AE18" i="5"/>
  <c r="G56" i="7" s="1"/>
  <c r="AE32" i="5" l="1"/>
  <c r="G50" i="7" s="1"/>
  <c r="G52" i="7"/>
</calcChain>
</file>

<file path=xl/sharedStrings.xml><?xml version="1.0" encoding="utf-8"?>
<sst xmlns="http://schemas.openxmlformats.org/spreadsheetml/2006/main" count="927" uniqueCount="554">
  <si>
    <t>Sport and Age Groups</t>
  </si>
  <si>
    <t>Football Adult Men 11v11 (16-45yrs)</t>
  </si>
  <si>
    <t>Football Adult Women 11v11 (16-45yrs)</t>
  </si>
  <si>
    <t>Football Youth Boys11v11 (12-15yrs)</t>
  </si>
  <si>
    <t>Football Youth Girls 11v11 (12-15yrs)</t>
  </si>
  <si>
    <t>Football Youth Boys 9v9 (10-11yrs)</t>
  </si>
  <si>
    <t>Football Youth Girls 9v9 (10-11yrs)</t>
  </si>
  <si>
    <t>Football Mini Soccer Mixed 7v7 (8-9yrs)</t>
  </si>
  <si>
    <t>Football Mini Soccer Mixed 5v5 (6-7yrs)</t>
  </si>
  <si>
    <t>Cricket Open Age Mens (18-55yrs)</t>
  </si>
  <si>
    <t>Cricket Open Age Womens (18-55yrs)</t>
  </si>
  <si>
    <t>Cricket Junior Boys (7-18yrs)</t>
  </si>
  <si>
    <t>Cricket Junior Girls (7-18yrs)</t>
  </si>
  <si>
    <t>Rugby Union Senior Men (19-45yrs)</t>
  </si>
  <si>
    <t>Rugby Union Senior Women (19-45yrs)</t>
  </si>
  <si>
    <t>Rugby Union Youth Boys (13-18yrs)</t>
  </si>
  <si>
    <t>Rugby Union Youth Girls (13-18yrs)</t>
  </si>
  <si>
    <t>Rugby Union Mini/Midi Mixed (7-12yrs)</t>
  </si>
  <si>
    <t>Rugby League Adult Men (19-45yrs)</t>
  </si>
  <si>
    <t>Rugby League Adult Women (19-45yrs)</t>
  </si>
  <si>
    <t>Rugby League Youth &amp; Junior Boys (12-18yrs)</t>
  </si>
  <si>
    <t>Rugby League Junior Girls (12-18yrs)</t>
  </si>
  <si>
    <t>Rugby League Primary Mixed (7-11yrs)</t>
  </si>
  <si>
    <t>Hockey Senior Men (16-55yrs)</t>
  </si>
  <si>
    <t>Hockey Senior Women (16-55yrs)</t>
  </si>
  <si>
    <t>Hockey Junior Boys (11-15yrs)</t>
  </si>
  <si>
    <t>Hockey Junior Girls (11-15yrs)</t>
  </si>
  <si>
    <t>% of total population</t>
  </si>
  <si>
    <t>Training session generated (once a week)</t>
  </si>
  <si>
    <t>Pitch Capital Cost 
(Q1 2015)</t>
  </si>
  <si>
    <t>Capital cost for no. of pitches generated by new population</t>
  </si>
  <si>
    <t>Total</t>
  </si>
  <si>
    <t>Life cycle costs for no. of pitches generated by new population</t>
  </si>
  <si>
    <t>Pitch sinking fund cost (annual)</t>
  </si>
  <si>
    <t>Pitch maintenance cost (annual)</t>
  </si>
  <si>
    <t>Sporting Age Groups</t>
  </si>
  <si>
    <t>No. of teams generated by the new population</t>
  </si>
  <si>
    <t xml:space="preserve">Answer = </t>
  </si>
  <si>
    <t xml:space="preserve">      (e.g. the additional population in an area or from a single development)</t>
  </si>
  <si>
    <t>Adur</t>
  </si>
  <si>
    <t>Allerdale</t>
  </si>
  <si>
    <t>Amber Valley</t>
  </si>
  <si>
    <t>Arun</t>
  </si>
  <si>
    <t>Ashfield</t>
  </si>
  <si>
    <t>Ashford</t>
  </si>
  <si>
    <t>Aylesbury Vale</t>
  </si>
  <si>
    <t>Babergh</t>
  </si>
  <si>
    <t>Barking &amp; Dagenham</t>
  </si>
  <si>
    <t>Barnet</t>
  </si>
  <si>
    <t>Barnsley</t>
  </si>
  <si>
    <t>Barrow In Furness</t>
  </si>
  <si>
    <t>Basildon</t>
  </si>
  <si>
    <t>Basingstoke &amp; Deane</t>
  </si>
  <si>
    <t>Bassetlaw</t>
  </si>
  <si>
    <t>Bath &amp; NE Somerset</t>
  </si>
  <si>
    <t>Bedford</t>
  </si>
  <si>
    <t>Bexley</t>
  </si>
  <si>
    <t>Birmingham</t>
  </si>
  <si>
    <t>Blaby</t>
  </si>
  <si>
    <t>Blackburn with Darwen</t>
  </si>
  <si>
    <t>Blackpool</t>
  </si>
  <si>
    <t>Bolsover</t>
  </si>
  <si>
    <t>Bolton</t>
  </si>
  <si>
    <t>Boston</t>
  </si>
  <si>
    <t>Bournemouth</t>
  </si>
  <si>
    <t>Bracknell Forest</t>
  </si>
  <si>
    <t>Bradford</t>
  </si>
  <si>
    <t>Braintree</t>
  </si>
  <si>
    <t>Breckland</t>
  </si>
  <si>
    <t>Brent</t>
  </si>
  <si>
    <t>Brentwood</t>
  </si>
  <si>
    <t>Brighton &amp; Hove</t>
  </si>
  <si>
    <t>Bristol</t>
  </si>
  <si>
    <t>Broadland</t>
  </si>
  <si>
    <t>Broads National Park</t>
  </si>
  <si>
    <t>Bromley</t>
  </si>
  <si>
    <t>Bromsgrove</t>
  </si>
  <si>
    <t>Broxbourne</t>
  </si>
  <si>
    <t>Broxtowe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</si>
  <si>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</si>
  <si>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</si>
  <si>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</si>
  <si>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</si>
  <si>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</si>
  <si>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</si>
  <si>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</si>
  <si>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</si>
  <si>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</si>
  <si>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</si>
  <si>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</si>
  <si>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</si>
  <si>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</si>
  <si>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</si>
  <si>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</si>
  <si>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&amp; Chester</t>
  </si>
  <si>
    <t>Chesterfield</t>
  </si>
  <si>
    <t>Chichester</t>
  </si>
  <si>
    <t>Chiltern</t>
  </si>
  <si>
    <t>Chorley</t>
  </si>
  <si>
    <t>Christchurch</t>
  </si>
  <si>
    <t>City of London</t>
  </si>
  <si>
    <t>City of Westminster</t>
  </si>
  <si>
    <t>Colchester</t>
  </si>
  <si>
    <t>Copeland</t>
  </si>
  <si>
    <t>Corby</t>
  </si>
  <si>
    <t>Cornwall</t>
  </si>
  <si>
    <t>Cotswold</t>
  </si>
  <si>
    <t>County Durham</t>
  </si>
  <si>
    <t>Coventry</t>
  </si>
  <si>
    <t>Craven</t>
  </si>
  <si>
    <t>Crawley</t>
  </si>
  <si>
    <t>Croydon</t>
  </si>
  <si>
    <t>Dacorum</t>
  </si>
  <si>
    <t>Darlington</t>
  </si>
  <si>
    <t>Dartford</t>
  </si>
  <si>
    <t>Dartmoor National Park</t>
  </si>
  <si>
    <t>Daventry</t>
  </si>
  <si>
    <t>Derby</t>
  </si>
  <si>
    <t>Derbyshire Dales</t>
  </si>
  <si>
    <t>Doncaster</t>
  </si>
  <si>
    <t>Dover</t>
  </si>
  <si>
    <t>Dudley</t>
  </si>
  <si>
    <t>Ealing</t>
  </si>
  <si>
    <t>East Cambridgeshire</t>
  </si>
  <si>
    <t>East Devon</t>
  </si>
  <si>
    <t>East Dorset</t>
  </si>
  <si>
    <t>East Hampshire</t>
  </si>
  <si>
    <t>East Herts</t>
  </si>
  <si>
    <t>East Lindsey</t>
  </si>
  <si>
    <t>East Northants</t>
  </si>
  <si>
    <t>East Riding</t>
  </si>
  <si>
    <t>East Staffordshire</t>
  </si>
  <si>
    <t>Eastbourne</t>
  </si>
  <si>
    <t>Eastleigh</t>
  </si>
  <si>
    <t>Eden</t>
  </si>
  <si>
    <t>Elmbridge</t>
  </si>
  <si>
    <t>Enfield</t>
  </si>
  <si>
    <t>Epping Forest</t>
  </si>
  <si>
    <t>Epsom &amp; Ewell</t>
  </si>
  <si>
    <t>Erewash</t>
  </si>
  <si>
    <t>Exeter</t>
  </si>
  <si>
    <t>Exmoor National Park</t>
  </si>
  <si>
    <t>Fareham</t>
  </si>
  <si>
    <t>Fenland</t>
  </si>
  <si>
    <t>Forest Heath</t>
  </si>
  <si>
    <t>Forest of Dean</t>
  </si>
  <si>
    <t>Fylde</t>
  </si>
  <si>
    <t>Gateshead</t>
  </si>
  <si>
    <t>Gedling</t>
  </si>
  <si>
    <t>Gloucester City</t>
  </si>
  <si>
    <t>Gosport</t>
  </si>
  <si>
    <t>Gravesham</t>
  </si>
  <si>
    <t>Great Yarmouth</t>
  </si>
  <si>
    <t>Greenwich</t>
  </si>
  <si>
    <t>Guildford</t>
  </si>
  <si>
    <t>Hackney</t>
  </si>
  <si>
    <t>Halton</t>
  </si>
  <si>
    <t>Hambleton</t>
  </si>
  <si>
    <t>Hammersmith &amp; Fulham</t>
  </si>
  <si>
    <t>Harborough</t>
  </si>
  <si>
    <t>Haringey</t>
  </si>
  <si>
    <t>Harlow</t>
  </si>
  <si>
    <t>Harrogate</t>
  </si>
  <si>
    <t>Harrow</t>
  </si>
  <si>
    <t>Hart</t>
  </si>
  <si>
    <t>Hartlepool</t>
  </si>
  <si>
    <t>Hastings</t>
  </si>
  <si>
    <t>Havant</t>
  </si>
  <si>
    <t>Havering</t>
  </si>
  <si>
    <t>Herefordshire</t>
  </si>
  <si>
    <t>Hertsmere</t>
  </si>
  <si>
    <t>High Peak</t>
  </si>
  <si>
    <t>Hillingdon</t>
  </si>
  <si>
    <t>Hinkley &amp; Bosworth</t>
  </si>
  <si>
    <t>Horsham</t>
  </si>
  <si>
    <t>Hounslow</t>
  </si>
  <si>
    <t>Hull</t>
  </si>
  <si>
    <t>Huntingdonshire</t>
  </si>
  <si>
    <t>Hyndburn</t>
  </si>
  <si>
    <t>Ipswich</t>
  </si>
  <si>
    <t>Isle Of Wight</t>
  </si>
  <si>
    <t>Isles of Scilly</t>
  </si>
  <si>
    <t>Islington</t>
  </si>
  <si>
    <t>Kensington &amp; Chelsea</t>
  </si>
  <si>
    <t>Kettering</t>
  </si>
  <si>
    <t>Kings Lynn &amp; West Norfolk</t>
  </si>
  <si>
    <t>Kingston Upon Thames</t>
  </si>
  <si>
    <t>Kirklees</t>
  </si>
  <si>
    <t>Knowsley</t>
  </si>
  <si>
    <t>Lake District National Park</t>
  </si>
  <si>
    <t>Lambeth</t>
  </si>
  <si>
    <t>Lancaster</t>
  </si>
  <si>
    <t>Leeds</t>
  </si>
  <si>
    <t>Leicester</t>
  </si>
  <si>
    <t>Lewes</t>
  </si>
  <si>
    <t>Lewisham</t>
  </si>
  <si>
    <t>Lichfield</t>
  </si>
  <si>
    <t>Lincoln City</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</si>
  <si>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</si>
  <si>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</si>
  <si>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</si>
  <si>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</si>
  <si>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</si>
  <si>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</si>
  <si>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</si>
  <si>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</si>
  <si>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</si>
  <si>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</si>
  <si>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</si>
  <si>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</si>
  <si>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</si>
  <si>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</si>
  <si>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</si>
  <si>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</si>
  <si>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</si>
  <si>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</si>
  <si>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 Forest National Park</t>
  </si>
  <si>
    <t>Newark &amp; Sherwood</t>
  </si>
  <si>
    <t>Newcastle</t>
  </si>
  <si>
    <t>Newcastle Under Lyme</t>
  </si>
  <si>
    <t>Newham</t>
  </si>
  <si>
    <t>North Devon</t>
  </si>
  <si>
    <t>North Dorset</t>
  </si>
  <si>
    <t>North East Derbyshire</t>
  </si>
  <si>
    <t>North East Lincolnshire</t>
  </si>
  <si>
    <t>North Herts</t>
  </si>
  <si>
    <t>North Kesteven</t>
  </si>
  <si>
    <t>North Lincolnshire</t>
  </si>
  <si>
    <t>North Norfolk</t>
  </si>
  <si>
    <t>North Somerset</t>
  </si>
  <si>
    <t>North Tyneside</t>
  </si>
  <si>
    <t>North Warwickshire</t>
  </si>
  <si>
    <t xml:space="preserve">North West Leicestershire </t>
  </si>
  <si>
    <t>North Yorkshire Moors National Park</t>
  </si>
  <si>
    <t>Northampton</t>
  </si>
  <si>
    <t>Northumberland County</t>
  </si>
  <si>
    <t>Northumberland National Park</t>
  </si>
  <si>
    <t>Norwich</t>
  </si>
  <si>
    <t>Nottingham</t>
  </si>
  <si>
    <t>Nuneaton &amp; Bedworth</t>
  </si>
  <si>
    <t xml:space="preserve">Oadby &amp; Wigston </t>
  </si>
  <si>
    <t>Oldham</t>
  </si>
  <si>
    <t>Oxford City</t>
  </si>
  <si>
    <t>Peak District National Park</t>
  </si>
  <si>
    <t>Pendle</t>
  </si>
  <si>
    <t>Peterborough</t>
  </si>
  <si>
    <t>Plymouth</t>
  </si>
  <si>
    <t>Poole</t>
  </si>
  <si>
    <t>Portsmouth</t>
  </si>
  <si>
    <t>Preston</t>
  </si>
  <si>
    <t>Purbeck</t>
  </si>
  <si>
    <t>Reading</t>
  </si>
  <si>
    <t>Redbridge</t>
  </si>
  <si>
    <t>Redcar &amp; Cleveland</t>
  </si>
  <si>
    <t>Redditch</t>
  </si>
  <si>
    <t>Reigate &amp;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</si>
  <si>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</si>
  <si>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</si>
  <si>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</si>
  <si>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</si>
  <si>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</si>
  <si>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</si>
  <si>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</si>
  <si>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</si>
  <si>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</si>
  <si>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</si>
  <si>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</si>
  <si>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</si>
  <si>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</si>
  <si>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</si>
  <si>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</si>
  <si>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</si>
  <si>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</si>
  <si>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</si>
  <si>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</si>
  <si>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</si>
  <si>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</si>
  <si>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</si>
  <si>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Shepway</t>
  </si>
  <si>
    <t>Shropshire</t>
  </si>
  <si>
    <t>Slough</t>
  </si>
  <si>
    <t>Solihull</t>
  </si>
  <si>
    <t>South Bucks</t>
  </si>
  <si>
    <t>South Cambridgeshire</t>
  </si>
  <si>
    <t>South Derbyshire</t>
  </si>
  <si>
    <t>South Downs National Park</t>
  </si>
  <si>
    <t>South Gloucestershire</t>
  </si>
  <si>
    <t>South Hams</t>
  </si>
  <si>
    <t>South Holland</t>
  </si>
  <si>
    <t>South Kesteven</t>
  </si>
  <si>
    <t>South Lakeland</t>
  </si>
  <si>
    <t>South Norfolk</t>
  </si>
  <si>
    <t>South Northants</t>
  </si>
  <si>
    <t>South Oxfordshire</t>
  </si>
  <si>
    <t>South Ribble</t>
  </si>
  <si>
    <t>South Somerset</t>
  </si>
  <si>
    <t>South Staffordshire</t>
  </si>
  <si>
    <t>South Tyneside</t>
  </si>
  <si>
    <t>Southampton</t>
  </si>
  <si>
    <t>Southend On Sea</t>
  </si>
  <si>
    <t>Southwark</t>
  </si>
  <si>
    <t>Spelthorne</t>
  </si>
  <si>
    <t>St Albans</t>
  </si>
  <si>
    <t>St Edmundsbury</t>
  </si>
  <si>
    <t>St Helens</t>
  </si>
  <si>
    <t>Stafford</t>
  </si>
  <si>
    <t>Staffordshire Moorlands</t>
  </si>
  <si>
    <t>Stevenage</t>
  </si>
  <si>
    <t>Stockport</t>
  </si>
  <si>
    <t>Stockton On Tees</t>
  </si>
  <si>
    <t>Stoke On Trent</t>
  </si>
  <si>
    <t>Stratford On Avon</t>
  </si>
  <si>
    <t>Stroud</t>
  </si>
  <si>
    <t>Suffolk Coastal</t>
  </si>
  <si>
    <t>Sunderland</t>
  </si>
  <si>
    <t>Surrey Heath</t>
  </si>
  <si>
    <t>Sutton</t>
  </si>
  <si>
    <t>Swale</t>
  </si>
  <si>
    <t>Swindon</t>
  </si>
  <si>
    <t>Tameside</t>
  </si>
  <si>
    <t>Tamworth</t>
  </si>
  <si>
    <t>Tandridge</t>
  </si>
  <si>
    <t>Taunton Deane</t>
  </si>
  <si>
    <t>Teignbridge</t>
  </si>
  <si>
    <t>Telford &amp; Wrekin</t>
  </si>
  <si>
    <t>Tendring</t>
  </si>
  <si>
    <t>Test Valley</t>
  </si>
  <si>
    <t>Tewkesbury</t>
  </si>
  <si>
    <t>Thanet</t>
  </si>
  <si>
    <t>Three Rivers</t>
  </si>
  <si>
    <t>Thurrock</t>
  </si>
  <si>
    <t>Tonbridge &amp;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</si>
  <si>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</si>
  <si>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</si>
  <si>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</si>
  <si>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</si>
  <si>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</si>
  <si>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</si>
  <si>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</si>
  <si>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</si>
  <si>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</si>
  <si>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</si>
  <si>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</si>
  <si>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</si>
  <si>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</si>
  <si>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</si>
  <si>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Waveney</t>
  </si>
  <si>
    <t>Waverley</t>
  </si>
  <si>
    <t>Wealden</t>
  </si>
  <si>
    <t>Wellingborough</t>
  </si>
  <si>
    <t>Welwyn Hatfield</t>
  </si>
  <si>
    <t>West Berkshire</t>
  </si>
  <si>
    <t>West Devon</t>
  </si>
  <si>
    <t>West Dorset</t>
  </si>
  <si>
    <t>West Lancashire</t>
  </si>
  <si>
    <t>West Lindsey</t>
  </si>
  <si>
    <t>West Oxfordshire</t>
  </si>
  <si>
    <t>West Somerset</t>
  </si>
  <si>
    <t>Weymouth &amp; Portland</t>
  </si>
  <si>
    <t>Wigan</t>
  </si>
  <si>
    <t>Wiltshire</t>
  </si>
  <si>
    <t>Winchester</t>
  </si>
  <si>
    <t>Windsor &amp; Maidenhead</t>
  </si>
  <si>
    <t>Wirral</t>
  </si>
  <si>
    <t>Woking</t>
  </si>
  <si>
    <t>Wokingham</t>
  </si>
  <si>
    <t>Wolverhampton</t>
  </si>
  <si>
    <t>Worcester</t>
  </si>
  <si>
    <t>Worthing</t>
  </si>
  <si>
    <t>Wychavon</t>
  </si>
  <si>
    <t>Wycombe</t>
  </si>
  <si>
    <t>Wyre</t>
  </si>
  <si>
    <t>Wyre Forest</t>
  </si>
  <si>
    <t>York</t>
  </si>
  <si>
    <t>Yorkshire Dales National Park</t>
  </si>
  <si>
    <t>Local Authority</t>
  </si>
  <si>
    <t>County</t>
  </si>
  <si>
    <t xml:space="preserve">1.  The name of your local authority </t>
  </si>
  <si>
    <t>2.  The total population of your local authority</t>
  </si>
  <si>
    <t>3.  The new population you want to estimate the demand for</t>
  </si>
  <si>
    <t>&lt;Blank&gt;</t>
  </si>
  <si>
    <t xml:space="preserve">Answer =  </t>
  </si>
  <si>
    <t xml:space="preserve">Answer =    </t>
  </si>
  <si>
    <t>people will generate a demand for:</t>
  </si>
  <si>
    <t>Youth football of</t>
  </si>
  <si>
    <t>Mini soccer of</t>
  </si>
  <si>
    <t>Cricket of</t>
  </si>
  <si>
    <t>match equivalent sessions a year</t>
  </si>
  <si>
    <t xml:space="preserve">Rugby Union of </t>
  </si>
  <si>
    <t xml:space="preserve">Rugby League of </t>
  </si>
  <si>
    <t xml:space="preserve">     (Select from list of local authorities in the box)</t>
  </si>
  <si>
    <t>Hockey of</t>
  </si>
  <si>
    <t xml:space="preserve">Hockey of </t>
  </si>
  <si>
    <t xml:space="preserve">Adult football of  </t>
  </si>
  <si>
    <t xml:space="preserve">  </t>
  </si>
  <si>
    <t xml:space="preserve">pitches at a capital cost of </t>
  </si>
  <si>
    <t xml:space="preserve">A total of </t>
  </si>
  <si>
    <t>and a total life cycle cost (per annum) of</t>
  </si>
  <si>
    <t xml:space="preserve">                Breaking down the above total figures across the different sports suggest a need for:</t>
  </si>
  <si>
    <t>Adult Football of</t>
  </si>
  <si>
    <t>Youth Football of</t>
  </si>
  <si>
    <t>Mini Soccer of</t>
  </si>
  <si>
    <t>Rugby Union of</t>
  </si>
  <si>
    <t>Rugby League of</t>
  </si>
  <si>
    <t>match equivalent sessions a week during the peak period</t>
  </si>
  <si>
    <t>No. of pitches required to meet additional demand during weekly peak period (during the year for Cricket)</t>
  </si>
  <si>
    <t>Required Information</t>
  </si>
  <si>
    <t>Optional Information</t>
  </si>
  <si>
    <t>Home matches generated per week 
(home every other week) - per year for Cricket</t>
  </si>
  <si>
    <t>N/a</t>
  </si>
  <si>
    <t>COMBINED - ROUND UP</t>
  </si>
  <si>
    <t xml:space="preserve">Capital costs source: SE Facilities Costs Second Quarter 2016 </t>
  </si>
  <si>
    <t>Lifecycle costs source: SE Life Cycle Costs Natural Turf Pitches and Artificial Surfaces April 2012</t>
  </si>
  <si>
    <t xml:space="preserve">                 Breaking down the above total figures across the different sports suggest a need for:</t>
  </si>
  <si>
    <t>Avon</t>
  </si>
  <si>
    <t>Bedfordshire</t>
  </si>
  <si>
    <t>Berkshire</t>
  </si>
  <si>
    <t>Buckinghamshire</t>
  </si>
  <si>
    <t>Cambridgeshire</t>
  </si>
  <si>
    <t>Cheshire</t>
  </si>
  <si>
    <t>Cleveland</t>
  </si>
  <si>
    <t>Cumbria</t>
  </si>
  <si>
    <t>Derbyshire</t>
  </si>
  <si>
    <t>Devon</t>
  </si>
  <si>
    <t>Dorset</t>
  </si>
  <si>
    <t>Durham</t>
  </si>
  <si>
    <t>East Sussex</t>
  </si>
  <si>
    <t>England</t>
  </si>
  <si>
    <t>Essex</t>
  </si>
  <si>
    <t>Gloucestershire</t>
  </si>
  <si>
    <t>Grt Manchester</t>
  </si>
  <si>
    <t>Hampshire</t>
  </si>
  <si>
    <t>Hereford &amp; Worcester</t>
  </si>
  <si>
    <t>Hertfordshire</t>
  </si>
  <si>
    <t>Humberside</t>
  </si>
  <si>
    <t>Kent</t>
  </si>
  <si>
    <t>Lancashire</t>
  </si>
  <si>
    <t>LB Barking</t>
  </si>
  <si>
    <t>LB Barnet</t>
  </si>
  <si>
    <t>LB Bexley</t>
  </si>
  <si>
    <t>LB Brent</t>
  </si>
  <si>
    <t>LB Bromley</t>
  </si>
  <si>
    <t>LB Camden</t>
  </si>
  <si>
    <t>LB Croydon</t>
  </si>
  <si>
    <t>LB Ealing</t>
  </si>
  <si>
    <t>LB Enfield</t>
  </si>
  <si>
    <t>LB Greenwich</t>
  </si>
  <si>
    <t>LB Hackney</t>
  </si>
  <si>
    <t>LB Hammersmith &amp; Fulham</t>
  </si>
  <si>
    <t>LB Haringey</t>
  </si>
  <si>
    <t>LB Harrow</t>
  </si>
  <si>
    <t>LB Havering</t>
  </si>
  <si>
    <t>LB Hillingdon</t>
  </si>
  <si>
    <t>LB Houslow</t>
  </si>
  <si>
    <t>LB Islington</t>
  </si>
  <si>
    <t>LB Kensington &amp; Chelsea</t>
  </si>
  <si>
    <t>LB Kingston</t>
  </si>
  <si>
    <t>LB Lambeth</t>
  </si>
  <si>
    <t>LB Lewisham</t>
  </si>
  <si>
    <t>LB Merton</t>
  </si>
  <si>
    <t>LB Newham</t>
  </si>
  <si>
    <t xml:space="preserve">LB Redbridge </t>
  </si>
  <si>
    <t>LB Richmond</t>
  </si>
  <si>
    <t>LB Southwark</t>
  </si>
  <si>
    <t>LB Sutton</t>
  </si>
  <si>
    <t>LB Tower Hamlets</t>
  </si>
  <si>
    <t>LB Waltham Forest</t>
  </si>
  <si>
    <t>LB Wandsworth</t>
  </si>
  <si>
    <t>Leicestershire</t>
  </si>
  <si>
    <t>Lincolnshire</t>
  </si>
  <si>
    <t>Merseyside</t>
  </si>
  <si>
    <t>No costs</t>
  </si>
  <si>
    <t>Norfolk</t>
  </si>
  <si>
    <t>North Yorkshire</t>
  </si>
  <si>
    <t>Northamptonshire</t>
  </si>
  <si>
    <t>Northumberland</t>
  </si>
  <si>
    <t>Nottinghamshire</t>
  </si>
  <si>
    <t>Oxfordshire</t>
  </si>
  <si>
    <t>Scotland</t>
  </si>
  <si>
    <t>Somerset</t>
  </si>
  <si>
    <t>South Yorkshire</t>
  </si>
  <si>
    <t>Staffordshire</t>
  </si>
  <si>
    <t xml:space="preserve">Suffolk </t>
  </si>
  <si>
    <t>Surrey</t>
  </si>
  <si>
    <t>Tyne &amp; Wear</t>
  </si>
  <si>
    <t>Wales</t>
  </si>
  <si>
    <t>Warwickshire</t>
  </si>
  <si>
    <t>West Midlands</t>
  </si>
  <si>
    <t>West Sussex</t>
  </si>
  <si>
    <t>West Yorkshire</t>
  </si>
  <si>
    <t>AT 05/04/16</t>
  </si>
  <si>
    <t>Regional cost variations</t>
  </si>
  <si>
    <r>
      <t xml:space="preserve">Playing Pitch Demand Calculator - </t>
    </r>
    <r>
      <rPr>
        <b/>
        <u/>
        <sz val="16"/>
        <color theme="1"/>
        <rFont val="Calibri Light"/>
        <family val="2"/>
        <scheme val="major"/>
      </rPr>
      <t>PPS Data Required</t>
    </r>
  </si>
  <si>
    <t>Go to 'PPS Data' sheet</t>
  </si>
  <si>
    <t>Playing Pitch Demand Calculator - Cover</t>
  </si>
  <si>
    <t>Source of costs: 
Capital Cost - Sport England Facilities Costs Second Quarter 2016
Lifecycle Costs - Sport England Life Cycle Costs Natural Turf Pitches and Artificial Surfaces April 2012</t>
  </si>
  <si>
    <r>
      <t xml:space="preserve">1. </t>
    </r>
    <r>
      <rPr>
        <sz val="11"/>
        <color theme="1"/>
        <rFont val="Calibri Light"/>
        <family val="2"/>
        <scheme val="major"/>
      </rPr>
      <t>Current</t>
    </r>
    <r>
      <rPr>
        <b/>
        <sz val="11"/>
        <color theme="1"/>
        <rFont val="Calibri Light"/>
        <family val="2"/>
        <scheme val="major"/>
      </rPr>
      <t xml:space="preserve"> population in each pitch sport age group in</t>
    </r>
    <r>
      <rPr>
        <sz val="11"/>
        <color theme="1"/>
        <rFont val="Calibri Light"/>
        <family val="2"/>
        <scheme val="major"/>
      </rPr>
      <t/>
    </r>
  </si>
  <si>
    <r>
      <t xml:space="preserve">2. </t>
    </r>
    <r>
      <rPr>
        <sz val="11"/>
        <color theme="1"/>
        <rFont val="Calibri Light"/>
        <family val="2"/>
        <scheme val="major"/>
      </rPr>
      <t xml:space="preserve">Current </t>
    </r>
    <r>
      <rPr>
        <b/>
        <sz val="11"/>
        <color theme="1"/>
        <rFont val="Calibri Light"/>
        <family val="2"/>
        <scheme val="major"/>
      </rPr>
      <t>team 
generation rates</t>
    </r>
    <r>
      <rPr>
        <sz val="11"/>
        <color theme="1"/>
        <rFont val="Calibri Light"/>
        <family val="2"/>
        <scheme val="major"/>
      </rPr>
      <t xml:space="preserve"> for</t>
    </r>
  </si>
  <si>
    <t>Playing Pitch Demand Calculator - Workings</t>
  </si>
  <si>
    <t>Pitch Capital Cost 
(Q2 2016)</t>
  </si>
  <si>
    <t xml:space="preserve">To do so you should look at the location of the new popualtion entered in Part 1 (e.g. the location of the development site) alongside the results of your PPS assessment work.  This will enable you to understand the nature of the current playing pitch sites within an appropriate catchment of the new population and the issues in the area.  This may lead to suggestions of one or more ways of meeting the estimated demand, such as:
a.  enhancing existing pitches to increase their capacity and ensure adequate maintenance to maintain the higher level of use 
b.  securing greater community access to currently restricted provision and undertaking necessary works to allow such use to occur (e.g. enhanced changing provision)
c.  providing new playing pitches on new sites (natural or artificial grass pitches).
If it is decided that the demand should be met by the creation of new natural turf playing pitches on new sites for all sports, except hockey for which artificial grass pitches should be provided, then Part 5 of this calculator provides an estimation of the number of new pitches that would be required to meet the match equivalent sessions presented in Part 3.  Part 5 also presents an estimate of the associated costs for providing these new pitches.  Please note that these are indicative costs only and appropriate local work should be undertaken to determine the true costs of any new pitches.  </t>
  </si>
  <si>
    <t>Playing Pitch Demand Calculator - Explanation</t>
  </si>
  <si>
    <t>No. of people within the new population</t>
  </si>
  <si>
    <t>e.  This assumes that the breakdown of the new population will match that of current population of the local authority area.</t>
  </si>
  <si>
    <t>How many people from the new population fall within the individual pitch sport age groups?</t>
  </si>
  <si>
    <t>How many teams may be generated by the the new population?</t>
  </si>
  <si>
    <t>2.  How many teams may be generated by the the new population?</t>
  </si>
  <si>
    <t>1.  How many people from the new population fall within the individual pitch sport age groups?</t>
  </si>
  <si>
    <t>b. Projected change in demand</t>
  </si>
  <si>
    <t>No. of teams generated by new population with change in demand factored in</t>
  </si>
  <si>
    <t>How many match equivalent sessions may be demanded by the new population?</t>
  </si>
  <si>
    <t>Match equivalent sessions during weekly peak period (during the year for Cricket)</t>
  </si>
  <si>
    <t>3.  How many match equivalent sessions may be demanded by the new population?</t>
  </si>
  <si>
    <r>
      <t xml:space="preserve">To estimate the demand and provide indicative costs the calculator works through a series of questions in sequence.  The questions and the process the calculator follows is presented below.  
</t>
    </r>
    <r>
      <rPr>
        <sz val="10"/>
        <color rgb="FFFF0000"/>
        <rFont val="Arial"/>
        <family val="2"/>
      </rPr>
      <t>Red text</t>
    </r>
    <r>
      <rPr>
        <sz val="10"/>
        <color theme="1"/>
        <rFont val="Arial"/>
        <family val="2"/>
      </rPr>
      <t xml:space="preserve"> denotes details provided by the user, </t>
    </r>
    <r>
      <rPr>
        <sz val="10"/>
        <color theme="4"/>
        <rFont val="Arial"/>
        <family val="2"/>
      </rPr>
      <t>Blue text</t>
    </r>
    <r>
      <rPr>
        <sz val="10"/>
        <color theme="1"/>
        <rFont val="Arial"/>
        <family val="2"/>
      </rPr>
      <t xml:space="preserve"> denotes details provided by Sport England.  The relevant text is only highlighted by colour the first time it is included under each stage of the process.  
The assumptions built into the process are in line with Sport England's Playing Pitch Strategy Guidance.</t>
    </r>
  </si>
  <si>
    <r>
      <t>a.  First of all the calculator works out the current proportion of the</t>
    </r>
    <r>
      <rPr>
        <sz val="10"/>
        <color rgb="FFFF0000"/>
        <rFont val="Arial"/>
        <family val="2"/>
      </rPr>
      <t xml:space="preserve"> 'total population of your local authority' </t>
    </r>
    <r>
      <rPr>
        <sz val="10"/>
        <color theme="1"/>
        <rFont val="Arial"/>
        <family val="2"/>
      </rPr>
      <t>(Cell D6 Calculator Sheet) that fall within each of the individual pitch sport age groups.</t>
    </r>
    <r>
      <rPr>
        <sz val="10"/>
        <color rgb="FFFF0000"/>
        <rFont val="Arial"/>
        <family val="2"/>
      </rPr>
      <t/>
    </r>
  </si>
  <si>
    <t xml:space="preserve">*. N/a for Cricket as demand is assessed across the season as opposed to the across the week. </t>
  </si>
  <si>
    <t>% of match play during the peak period</t>
  </si>
  <si>
    <r>
      <t xml:space="preserve">b.  To do so it takes the </t>
    </r>
    <r>
      <rPr>
        <sz val="10"/>
        <color rgb="FFFF0000"/>
        <rFont val="Arial"/>
        <family val="2"/>
      </rPr>
      <t>'current population within each pitch sport age group in the area'</t>
    </r>
    <r>
      <rPr>
        <sz val="10"/>
        <color theme="1"/>
        <rFont val="Arial"/>
        <family val="2"/>
      </rPr>
      <t xml:space="preserve"> (Column C, PPS Data Sheet) and divides this by the 'total population of your local authority' (Cell D6 Calculator Sheet).</t>
    </r>
  </si>
  <si>
    <t>c.  It presents the results as a percentage of the total population (Column E, Workings Sheet).</t>
  </si>
  <si>
    <r>
      <t>d.  It uses these percentages and applies them to the</t>
    </r>
    <r>
      <rPr>
        <sz val="10"/>
        <color rgb="FFFF0000"/>
        <rFont val="Arial"/>
        <family val="2"/>
      </rPr>
      <t xml:space="preserve"> 'new population you want to estimate the demand for'</t>
    </r>
    <r>
      <rPr>
        <sz val="10"/>
        <color theme="1"/>
        <rFont val="Arial"/>
        <family val="2"/>
      </rPr>
      <t xml:space="preserve"> (Cell D7 Calculator Sheet) to generate a 'number of people within the new population' that fall within each age group (Column F, Workings Sheet).</t>
    </r>
  </si>
  <si>
    <r>
      <t>a.  The calculator takes the 'number of people within the new population' that fall within each age group (Column F, Workings Sheet) and divides this by the relevant</t>
    </r>
    <r>
      <rPr>
        <sz val="10"/>
        <color rgb="FFFF0000"/>
        <rFont val="Arial"/>
        <family val="2"/>
      </rPr>
      <t xml:space="preserve"> 'current team generation rates for the area'</t>
    </r>
    <r>
      <rPr>
        <sz val="10"/>
        <color theme="1"/>
        <rFont val="Arial"/>
        <family val="2"/>
      </rPr>
      <t xml:space="preserve"> (Column D, PPS Data Sheet). </t>
    </r>
  </si>
  <si>
    <t xml:space="preserve">b.  The result is an estimation of the 'number of teams generated by the new population' for each age group (Column H, Workings Sheet).      </t>
  </si>
  <si>
    <r>
      <t xml:space="preserve">c.  The estimated number of teams is then multiplied by the percentage </t>
    </r>
    <r>
      <rPr>
        <sz val="10"/>
        <color rgb="FFFF0000"/>
        <rFont val="Arial"/>
        <family val="2"/>
      </rPr>
      <t xml:space="preserve">'projected change in demand' </t>
    </r>
    <r>
      <rPr>
        <sz val="10"/>
        <color theme="1"/>
        <rFont val="Arial"/>
        <family val="2"/>
      </rPr>
      <t xml:space="preserve">for each age group (Column G, PPS Data Sheet) to present an estimation of the 'number of teams generated by the new population with the change in demand factored in' (Column I, Workings Sheet).  </t>
    </r>
  </si>
  <si>
    <t xml:space="preserve">a.  For each age group the calculator takes the 'number of teams generated by the new population with the change in demand factored in' (Column I, Workings Sheet) and divides this by 2 for all sports except Cricket to estimate the number of 'home matches generated per week' (Column K, Workings Sheet).  Dividing by two reflects home and away fixtures building in the assumption that teams will only generate demand for a 'home' match every other week.  </t>
  </si>
  <si>
    <r>
      <t xml:space="preserve">a. Percentage of match play in the peak period 
</t>
    </r>
    <r>
      <rPr>
        <sz val="11"/>
        <color theme="1"/>
        <rFont val="Calibri Light"/>
        <family val="2"/>
        <scheme val="major"/>
      </rPr>
      <t>(N/a for Cricket*.  If unknown for other sports leave as 100%)</t>
    </r>
  </si>
  <si>
    <t xml:space="preserve">To provide an estimate of demand in Part 3, the calculator requires the following information from your PPS work for the local authority area:
1.  The current population in each pitch sport age group
2.  The Team Generation Rate (TGR) for each pitch sport age group
The above information should be available from your PPS work and should be copied across/entered into the sections below. 
As a default, the calculator assumes that:
a.  All of the estimated demand generated from the new population will take place at the peak time in the week for the respective sports and age groups within the authority area, and
b.  The level of demand is in line with the current level of demand in the area (i.e. it uses current TGRs for the area with no change in the level of demand for any sports).
The two assumptions can be overiden by amending the ('Percentage of match play in the peak period' and 'Projected change in demand') details below against any of the individual pitch sport age groups in line with information from your PPS work.  </t>
  </si>
  <si>
    <r>
      <t xml:space="preserve">b.  The number of 'home matches generated per week' (Column K, Workings Sheet) are then multiplied by the </t>
    </r>
    <r>
      <rPr>
        <sz val="10"/>
        <color rgb="FFFF0000"/>
        <rFont val="Arial"/>
        <family val="2"/>
      </rPr>
      <t>'percentage of match play at peak period'</t>
    </r>
    <r>
      <rPr>
        <sz val="10"/>
        <color theme="1"/>
        <rFont val="Arial"/>
        <family val="2"/>
      </rPr>
      <t xml:space="preserve"> (Column F, PPS Data Sheet) to provide the number of 'match equivalent sessions during the weekly peak period' (Column N, Workings Sheet).</t>
    </r>
  </si>
  <si>
    <t xml:space="preserve">c.  For Cricket, demand within a PPS should be assessed across the season as opposed to per week.  Therefore, the 'number of teams generated by the new population with the change in demand factor added in' (Column I, Workings Sheet) for Cricket is multiplied by 10 for the adult age groups and 8 for the junior age groups in order to estimate the number of 'home matches generated per season' (Column K, Workings Sheet).  The number of home games equates to the number of 'match equivalent sessions during the season' (Column N, Working Sheet) i.e. no need to multiply by the percetage of match play in the peak period as for the other sports.  The figures of 10 and 8 are the assumed maximum number of home games teams in the respective age groups will play per season.        </t>
  </si>
  <si>
    <t xml:space="preserve">d. The number of 'match equivalent sessions during the weekly peak period' (Column N, Workings Sheet) for relevant age groups, i.e. all adult football, all youth football, are added together and presented as results within Part 3 of the Calculator Sheet.  </t>
  </si>
  <si>
    <t xml:space="preserve">d.  For the younger age groups in Rugby Union (Mini/Midi 7-12 years) and and Rugby League (Primary 7-11 years) the 'number of match equivalent sessions during the weekly peak period' (Column N, Working Sheet) is divided by four before being presented.  This is to reflect that such age groups tend to use/mark out pitches on top of senior pitches using half a senior pitch for half the time of senior play therefore equating to a quarter of a senior match equivalent session.    </t>
  </si>
  <si>
    <t>Combined rounded up costs</t>
  </si>
  <si>
    <t>4. What do the match equivalent sessions equate to in terms of new pitch provision?</t>
  </si>
  <si>
    <t>What do the match equivalent sessions equate to in terms of new pitch provision?</t>
  </si>
  <si>
    <t xml:space="preserve">b.  For Cricket the number of 'match equivalent sessions per year' (Column N, Workings Sheet) is divided by 40 for the adult age groups and 56 for the junior age groups to generate the number of pitches required.  This is based on the assumption of a single cricket pitch having 8 grass wickets with each wicket being able to take 5 matches a year for adult play and 7 matches for junior play. </t>
  </si>
  <si>
    <t xml:space="preserve">a.  For Football, Rugby Union and Rugby League the the number of 'match equivalent sessions during the weekly peak period' (Column N, Workings Sheet) equates to the 'number of new pitches required' (Column P, Workings Sheet). </t>
  </si>
  <si>
    <t xml:space="preserve">c.  The 'number of new pitches required' (Column P, Wokings Sheet) for relevant age groups, i.e. all adult football, all youth football, are added together and presented as results within Part 5 of the Calculator Sheet.  </t>
  </si>
  <si>
    <t xml:space="preserve">d.  Note: For Hockey the total 'number of new pitches required' (Column P, Workings Sheet) for all age groups is added together and devided by four b4 before being presented within Part 5 of the calculator sheet.  This reflect that a single artificial grass pitch for Hockey can accommodate up to four matches on any given peak day (i.e. Saturday). </t>
  </si>
  <si>
    <t>5. How much may it cost to provide the new pitch provision?</t>
  </si>
  <si>
    <t>How much may it cost to provide the new pitch provision?</t>
  </si>
  <si>
    <t>Capital cost for no. of pitches generated by the new population</t>
  </si>
  <si>
    <r>
      <t xml:space="preserve">a.  The 'number of new pitches required' (Column P, Working Sheet) for each age group is added together (as under question 4 above) and then multiplied by Sport England's latest </t>
    </r>
    <r>
      <rPr>
        <sz val="10"/>
        <color rgb="FF00B0F0"/>
        <rFont val="Arial"/>
        <family val="2"/>
      </rPr>
      <t>'pitch capital costs'</t>
    </r>
    <r>
      <rPr>
        <sz val="10"/>
        <color theme="1"/>
        <rFont val="Arial"/>
        <family val="2"/>
      </rPr>
      <t xml:space="preserve"> (Column S, Workings Sheet) for the respective pitch type and size.  </t>
    </r>
  </si>
  <si>
    <t>6. What might the lifecycle costs of the new provision be?</t>
  </si>
  <si>
    <t>What might the lifecycle costs of the new provision be?</t>
  </si>
  <si>
    <t>c.  The results of these calculation, the 'Capital cost for the number of pitches generated by the new population' (Column T, Wokings Sheet), are then presented within Part 5 of the Calculator Sheet.</t>
  </si>
  <si>
    <t xml:space="preserve">b.  The resulting capital cost per pitch type is then multiplied by the regional cost variation figure for the respective County area (Columns C-K Rows , within which the selected local authority (Cell D5, Calculator Sheet).  </t>
  </si>
  <si>
    <t>This calculator has been developed by Sport England to help local authorities who are currently developing, or have recently developed, a Playing Pitch Strategy (PPS).  
It allows the user to estimate the demand for the use of playing pitches that may be generated from a given population in their area.  To do so it requires some information on the local authority and from the authority's developing or completed PPS work (Parts 1 &amp; 2). 
It is envisaged the calculator will be used in two ways:
1.   To estimate the demand from population growth within a given area (e.g. a proposed major development area, growth area or authority wide area) so that it can be fed into the development of a PPS (e.g. to help assess how the demand from future population growth can be met to aid scenario testing and the development of the PPS recommendations and action plan);
2.   To estimate the demand from proposed developments after a PPS has been completed (e.g. to aid assessment and discussion at the pre-planning application stage for proposed residential developments). 
In line with Sport England's PPS Guidance, the calculator estimates demand in match equivalent sessions (Part 3).  
The user should look at the results in Part 3 alongside their PPS work to determine the most appropriate way of meeting the demand in their area (Part 4).
If it is decided the demand should be met by the creation of new playing pitches on new sites then the calculator provides an estimation of the number of pitches this may require along with associated indicative costs (Part 5).    
An explanation of the how the calculator works along with the detailed workings are provided in the final two sheets of this document.</t>
  </si>
  <si>
    <r>
      <t xml:space="preserve">Playing Pitch Demand Calculator - </t>
    </r>
    <r>
      <rPr>
        <u/>
        <sz val="10"/>
        <color theme="1"/>
        <rFont val="Arial"/>
        <family val="2"/>
      </rPr>
      <t>Calculator</t>
    </r>
  </si>
  <si>
    <r>
      <rPr>
        <u/>
        <sz val="10"/>
        <color theme="1"/>
        <rFont val="Arial"/>
        <family val="2"/>
      </rPr>
      <t>PART 1</t>
    </r>
    <r>
      <rPr>
        <sz val="10"/>
        <color theme="1"/>
        <rFont val="Arial"/>
        <family val="2"/>
      </rPr>
      <t>:  First of all the calcuator needs to know the following:</t>
    </r>
  </si>
  <si>
    <r>
      <rPr>
        <u/>
        <sz val="10"/>
        <color theme="1"/>
        <rFont val="Arial"/>
        <family val="2"/>
      </rPr>
      <t>PART 2</t>
    </r>
    <r>
      <rPr>
        <sz val="10"/>
        <color theme="1"/>
        <rFont val="Arial"/>
        <family val="2"/>
      </rPr>
      <t>:  Now the calculator needs some data from your PPS work</t>
    </r>
  </si>
  <si>
    <r>
      <rPr>
        <u/>
        <sz val="10"/>
        <color theme="1"/>
        <rFont val="Arial"/>
        <family val="2"/>
      </rPr>
      <t>PART 3</t>
    </r>
    <r>
      <rPr>
        <sz val="10"/>
        <color theme="1"/>
        <rFont val="Arial"/>
        <family val="2"/>
      </rPr>
      <t>:  Using the data from Parts 1&amp;2, the calculator suggests that within</t>
    </r>
  </si>
  <si>
    <r>
      <rPr>
        <u/>
        <sz val="10"/>
        <color theme="1"/>
        <rFont val="Arial"/>
        <family val="2"/>
      </rPr>
      <t>PART 4</t>
    </r>
    <r>
      <rPr>
        <sz val="10"/>
        <color theme="1"/>
        <rFont val="Arial"/>
        <family val="2"/>
      </rPr>
      <t>:  You should now use your PPS work to determine the most appropriate way of meeting the demand.</t>
    </r>
  </si>
  <si>
    <t>When deciding upon the most appropriate way of meeting the demand regard should be had to the Government's regulations and guidance regarding the Community Infrastructure Levy (CIL) and the use planning obligations (e.g. the three tests and pooling restrictions).  Link here to CIL section of the Government's Planning Practice Guidance.</t>
  </si>
  <si>
    <r>
      <rPr>
        <u/>
        <sz val="10"/>
        <color theme="1"/>
        <rFont val="Arial"/>
        <family val="2"/>
      </rPr>
      <t>PART 5</t>
    </r>
    <r>
      <rPr>
        <sz val="10"/>
        <color theme="1"/>
        <rFont val="Arial"/>
        <family val="2"/>
      </rPr>
      <t xml:space="preserve">:  If the demand presented in Part 3 is to be met by new new playing pitches on new sites then the calculator suggests its equates to a need for: </t>
    </r>
  </si>
  <si>
    <r>
      <rPr>
        <u/>
        <sz val="10"/>
        <color theme="1"/>
        <rFont val="Arial"/>
        <family val="2"/>
      </rPr>
      <t>PART 5B</t>
    </r>
    <r>
      <rPr>
        <sz val="10"/>
        <color theme="1"/>
        <rFont val="Arial"/>
        <family val="2"/>
      </rPr>
      <t xml:space="preserve">:  If the pitch figures in Part 5a above are </t>
    </r>
    <r>
      <rPr>
        <u/>
        <sz val="10"/>
        <color theme="1"/>
        <rFont val="Arial"/>
        <family val="2"/>
      </rPr>
      <t>rounded up to the nearest whole pitch</t>
    </r>
    <r>
      <rPr>
        <sz val="10"/>
        <color theme="1"/>
        <rFont val="Arial"/>
        <family val="2"/>
      </rPr>
      <t xml:space="preserve"> then the calculator suggests the demand equates to a need for: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</si>
</sst>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quot;£&quot;#,##0.00"/>
    <numFmt numFmtId="166" formatCode="0.0%"/>
  </numFmts>
  <fonts count="37" x14ac:knownFonts="1">
    <font>
      <sz val="10"/>
      <color theme="1"/>
      <name val="Arial"/>
      <family val="2"/>
    </font>
    <font>
      <u/>
      <sz val="10"/>
      <color theme="10"/>
      <name val="Arial"/>
      <family val="2"/>
    </font>
    <font>
      <sz val="10"/>
      <color theme="1"/>
      <name val="Calibri Light"/>
      <family val="2"/>
      <scheme val="major"/>
    </font>
    <font>
      <sz val="12"/>
      <color theme="1"/>
      <name val="Calibri Light"/>
      <family val="2"/>
      <scheme val="major"/>
    </font>
    <font>
      <b/>
      <sz val="11"/>
      <color theme="1"/>
      <name val="Calibri Light"/>
      <family val="2"/>
      <scheme val="major"/>
    </font>
    <font>
      <b/>
      <sz val="16"/>
      <color theme="1"/>
      <name val="Calibri Light"/>
      <family val="2"/>
      <scheme val="major"/>
    </font>
    <font>
      <b/>
      <sz val="10"/>
      <color theme="1"/>
      <name val="Calibri Light"/>
      <family val="2"/>
      <scheme val="major"/>
    </font>
    <font>
      <sz val="11"/>
      <color theme="1"/>
      <name val="Calibri Light"/>
      <family val="2"/>
      <scheme val="major"/>
    </font>
    <font>
      <i/>
      <sz val="10"/>
      <color theme="1"/>
      <name val="Calibri Light"/>
      <family val="2"/>
      <scheme val="major"/>
    </font>
    <font>
      <b/>
      <i/>
      <sz val="10"/>
      <color theme="1"/>
      <name val="Calibri Light"/>
      <family val="2"/>
      <scheme val="major"/>
    </font>
    <font>
      <b/>
      <u/>
      <sz val="8"/>
      <color theme="1"/>
      <name val="Calibri Light"/>
      <family val="2"/>
      <scheme val="major"/>
    </font>
    <font>
      <sz val="8"/>
      <color theme="1"/>
      <name val="Calibri Light"/>
      <family val="2"/>
      <scheme val="major"/>
    </font>
    <font>
      <b/>
      <sz val="8"/>
      <name val="Arial"/>
      <family val="2"/>
    </font>
    <font>
      <sz val="8"/>
      <name val="Arial"/>
      <family val="2"/>
    </font>
    <font>
      <sz val="8"/>
      <color theme="1"/>
      <name val="Arial"/>
      <family val="2"/>
    </font>
    <font>
      <sz val="12"/>
      <color theme="1"/>
      <name val="Arial"/>
      <family val="2"/>
    </font>
    <font>
      <b/>
      <u/>
      <sz val="16"/>
      <color theme="1"/>
      <name val="Calibri Light"/>
      <family val="2"/>
      <scheme val="major"/>
    </font>
    <font>
      <u/>
      <sz val="10"/>
      <color theme="1"/>
      <name val="Calibri Light"/>
      <family val="2"/>
      <scheme val="major"/>
    </font>
    <font>
      <sz val="10"/>
      <color rgb="FFFF0000"/>
      <name val="Arial"/>
      <family val="2"/>
    </font>
    <font>
      <b/>
      <sz val="10"/>
      <color theme="1"/>
      <name val="Arial"/>
      <family val="2"/>
    </font>
    <font>
      <sz val="10"/>
      <color theme="4"/>
      <name val="Arial"/>
      <family val="2"/>
    </font>
    <font>
      <sz val="9"/>
      <color theme="1"/>
      <name val="Calibri Light"/>
      <family val="2"/>
      <scheme val="major"/>
    </font>
    <font>
      <sz val="10"/>
      <color rgb="FF00B0F0"/>
      <name val="Arial"/>
      <family val="2"/>
    </font>
    <font>
      <b/>
      <sz val="12"/>
      <color theme="1"/>
      <name val="Arial"/>
      <family val="2"/>
    </font>
    <font>
      <sz val="11"/>
      <color theme="1"/>
      <name val="Calibri Light"/>
      <family val="2"/>
      <scheme val="major"/>
    </font>
    <font>
      <b/>
      <sz val="16"/>
      <color theme="1"/>
      <name val="Calibri Light"/>
      <family val="2"/>
      <scheme val="major"/>
    </font>
    <font>
      <u/>
      <sz val="10"/>
      <color theme="1"/>
      <name val="Arial"/>
      <family val="2"/>
    </font>
    <font>
      <b/>
      <sz val="12"/>
      <color theme="1"/>
      <name val="Calibri Light"/>
      <family val="2"/>
      <scheme val="major"/>
    </font>
    <font>
      <sz val="12"/>
      <color theme="1"/>
      <name val="Calibri Light"/>
      <family val="2"/>
      <scheme val="major"/>
    </font>
    <font>
      <b/>
      <sz val="11"/>
      <color theme="1"/>
      <name val="Calibri Light"/>
      <family val="2"/>
      <scheme val="major"/>
    </font>
    <font>
      <sz val="11"/>
      <color theme="1"/>
      <name val="Arial"/>
      <family val="2"/>
    </font>
    <font>
      <sz val="10"/>
      <color theme="1"/>
      <name val="Calibri Light"/>
      <family val="2"/>
      <scheme val="major"/>
    </font>
    <font>
      <sz val="12"/>
      <color theme="1"/>
      <name val="Arial"/>
      <family val="2"/>
    </font>
    <font>
      <u/>
      <sz val="10"/>
      <color theme="8"/>
      <name val="Arial"/>
      <family val="2"/>
    </font>
    <font>
      <sz val="11"/>
      <color theme="8"/>
      <name val="Calibri Light"/>
      <family val="2"/>
      <scheme val="major"/>
    </font>
    <font>
      <b/>
      <sz val="11"/>
      <color theme="0" tint="-0.499984740745262"/>
      <name val="Calibri Light"/>
      <family val="2"/>
      <scheme val="major"/>
    </font>
    <font>
      <sz val="11"/>
      <color theme="0" tint="-0.499984740745262"/>
      <name val="Calibri Light"/>
      <family val="2"/>
      <scheme val="maj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rgb="FFFFFF66"/>
        <bgColor indexed="64"/>
      </patternFill>
    </fill>
    <fill>
      <patternFill patternType="solid">
        <fgColor rgb="FFCCFF99"/>
        <bgColor indexed="64"/>
      </patternFill>
    </fill>
    <fill>
      <patternFill patternType="solid">
        <fgColor rgb="FFCCFFFF"/>
        <bgColor indexed="64"/>
      </patternFill>
    </fill>
    <fill>
      <patternFill patternType="solid">
        <fgColor rgb="FFD9FFFF"/>
        <bgColor indexed="64"/>
      </patternFill>
    </fill>
    <fill>
      <patternFill patternType="solid">
        <fgColor theme="6" tint="0.59999389629810485"/>
        <bgColor indexed="64"/>
      </patternFill>
    </fill>
  </fills>
  <borders count="65">
    <border>
      <left/>
      <right/>
      <top/>
      <bottom/>
      <diagonal/>
    </border>
    <border>
      <left/>
      <right/>
      <top style="medium">
        <color auto="1"/>
      </top>
      <bottom style="medium">
        <color auto="1"/>
      </bottom>
      <diagonal/>
    </border>
    <border>
      <left style="medium">
        <color rgb="FFFFC000"/>
      </left>
      <right style="medium">
        <color rgb="FFFFC000"/>
      </right>
      <top style="medium">
        <color rgb="FFFFC000"/>
      </top>
      <bottom style="medium">
        <color rgb="FFFFC000"/>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bottom style="thin">
        <color rgb="FFFFC000"/>
      </bottom>
      <diagonal/>
    </border>
    <border>
      <left style="thin">
        <color rgb="FFFFC000"/>
      </left>
      <right style="thin">
        <color rgb="FFFFC000"/>
      </right>
      <top style="thin">
        <color rgb="FFFFC000"/>
      </top>
      <bottom/>
      <diagonal/>
    </border>
    <border>
      <left style="thin">
        <color rgb="FFFFC000"/>
      </left>
      <right style="thin">
        <color rgb="FFFFC000"/>
      </right>
      <top style="thin">
        <color rgb="FFFFC000"/>
      </top>
      <bottom style="medium">
        <color rgb="FFFFC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theme="2" tint="-9.9948118533890809E-2"/>
      </left>
      <right style="thin">
        <color theme="2" tint="-9.9948118533890809E-2"/>
      </right>
      <top/>
      <bottom style="thin">
        <color theme="2" tint="-9.9948118533890809E-2"/>
      </bottom>
      <diagonal/>
    </border>
    <border>
      <left style="thin">
        <color theme="1"/>
      </left>
      <right/>
      <top/>
      <bottom style="thin">
        <color theme="1"/>
      </bottom>
      <diagonal/>
    </border>
    <border>
      <left style="thin">
        <color indexed="64"/>
      </left>
      <right style="thin">
        <color theme="1"/>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theme="1"/>
      </right>
      <top style="medium">
        <color indexed="64"/>
      </top>
      <bottom/>
      <diagonal/>
    </border>
    <border>
      <left style="thin">
        <color theme="1"/>
      </left>
      <right/>
      <top style="medium">
        <color indexed="64"/>
      </top>
      <bottom/>
      <diagonal/>
    </border>
    <border>
      <left style="thin">
        <color theme="1"/>
      </left>
      <right style="medium">
        <color indexed="64"/>
      </right>
      <top style="medium">
        <color indexed="64"/>
      </top>
      <bottom/>
      <diagonal/>
    </border>
    <border>
      <left style="medium">
        <color indexed="64"/>
      </left>
      <right style="thin">
        <color indexed="64"/>
      </right>
      <top/>
      <bottom style="thin">
        <color theme="1"/>
      </bottom>
      <diagonal/>
    </border>
    <border>
      <left style="thin">
        <color theme="1"/>
      </left>
      <right style="medium">
        <color indexed="64"/>
      </right>
      <top/>
      <bottom style="thin">
        <color theme="1"/>
      </bottom>
      <diagonal/>
    </border>
    <border>
      <left style="medium">
        <color indexed="64"/>
      </left>
      <right style="thin">
        <color theme="2" tint="-9.9948118533890809E-2"/>
      </right>
      <top/>
      <bottom style="thin">
        <color theme="2" tint="-9.9948118533890809E-2"/>
      </bottom>
      <diagonal/>
    </border>
    <border>
      <left style="thin">
        <color theme="2" tint="-9.9948118533890809E-2"/>
      </left>
      <right style="medium">
        <color indexed="64"/>
      </right>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right/>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top style="medium">
        <color auto="1"/>
      </top>
      <bottom style="medium">
        <color theme="0" tint="-0.499984740745262"/>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69">
    <xf numFmtId="0" fontId="0" fillId="0" borderId="0" xfId="0"/>
    <xf numFmtId="0" fontId="0" fillId="2" borderId="0" xfId="0" applyFill="1"/>
    <xf numFmtId="0" fontId="2" fillId="2" borderId="0" xfId="0" applyFont="1" applyFill="1"/>
    <xf numFmtId="0" fontId="2" fillId="2" borderId="0" xfId="0" applyFont="1" applyFill="1" applyBorder="1"/>
    <xf numFmtId="3" fontId="2" fillId="2" borderId="0" xfId="0" applyNumberFormat="1" applyFont="1" applyFill="1" applyBorder="1"/>
    <xf numFmtId="0" fontId="6" fillId="2" borderId="0" xfId="0" applyFont="1" applyFill="1" applyBorder="1" applyAlignment="1">
      <alignment vertical="center" wrapText="1"/>
    </xf>
    <xf numFmtId="0" fontId="6" fillId="2" borderId="0" xfId="0" applyFont="1" applyFill="1" applyBorder="1" applyAlignment="1">
      <alignment horizontal="center" vertical="center" wrapText="1"/>
    </xf>
    <xf numFmtId="0" fontId="2" fillId="2" borderId="0" xfId="0" applyFont="1" applyFill="1" applyBorder="1" applyAlignment="1">
      <alignment vertical="top"/>
    </xf>
    <xf numFmtId="0" fontId="7" fillId="2" borderId="0" xfId="0" applyFont="1" applyFill="1" applyBorder="1"/>
    <xf numFmtId="0" fontId="2" fillId="2" borderId="0" xfId="0" applyFont="1" applyFill="1" applyBorder="1" applyAlignment="1">
      <alignment horizontal="center"/>
    </xf>
    <xf numFmtId="49" fontId="4" fillId="2" borderId="29" xfId="0" applyNumberFormat="1" applyFont="1" applyFill="1" applyBorder="1" applyAlignment="1">
      <alignment horizontal="right" vertical="top" wrapText="1"/>
    </xf>
    <xf numFmtId="0" fontId="7" fillId="2" borderId="36" xfId="0" applyFont="1" applyFill="1" applyBorder="1" applyAlignment="1">
      <alignment horizontal="right"/>
    </xf>
    <xf numFmtId="0" fontId="4" fillId="2" borderId="38" xfId="0" applyFont="1" applyFill="1" applyBorder="1" applyAlignment="1">
      <alignment horizontal="right" wrapText="1"/>
    </xf>
    <xf numFmtId="0" fontId="7" fillId="2" borderId="39" xfId="0" applyFont="1" applyFill="1" applyBorder="1" applyAlignment="1">
      <alignment horizontal="right"/>
    </xf>
    <xf numFmtId="0" fontId="8" fillId="2" borderId="0" xfId="0" applyFont="1" applyFill="1"/>
    <xf numFmtId="0" fontId="2" fillId="2" borderId="16" xfId="0" applyFont="1" applyFill="1" applyBorder="1"/>
    <xf numFmtId="0" fontId="2" fillId="2" borderId="15" xfId="0" applyFont="1" applyFill="1" applyBorder="1"/>
    <xf numFmtId="0" fontId="2" fillId="2" borderId="19" xfId="0" applyFont="1" applyFill="1" applyBorder="1"/>
    <xf numFmtId="0" fontId="2" fillId="2" borderId="14" xfId="0" applyFont="1" applyFill="1" applyBorder="1"/>
    <xf numFmtId="0" fontId="6" fillId="2" borderId="2" xfId="0" applyFont="1" applyFill="1" applyBorder="1" applyAlignment="1">
      <alignment vertical="center" wrapText="1"/>
    </xf>
    <xf numFmtId="0" fontId="2" fillId="2" borderId="20" xfId="0" applyFont="1" applyFill="1" applyBorder="1"/>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5" xfId="0" applyFont="1" applyFill="1" applyBorder="1" applyAlignment="1">
      <alignment vertical="top"/>
    </xf>
    <xf numFmtId="0" fontId="2" fillId="2" borderId="11" xfId="0" applyFont="1" applyFill="1" applyBorder="1"/>
    <xf numFmtId="0" fontId="2" fillId="2" borderId="6" xfId="0" applyFont="1" applyFill="1" applyBorder="1" applyAlignment="1">
      <alignment vertical="top"/>
    </xf>
    <xf numFmtId="0" fontId="2" fillId="2" borderId="8" xfId="0" applyFont="1" applyFill="1" applyBorder="1" applyAlignment="1">
      <alignment horizontal="right"/>
    </xf>
    <xf numFmtId="2" fontId="2" fillId="2" borderId="8" xfId="0" applyNumberFormat="1" applyFont="1" applyFill="1" applyBorder="1"/>
    <xf numFmtId="3" fontId="2" fillId="2" borderId="8" xfId="0" applyNumberFormat="1" applyFont="1" applyFill="1" applyBorder="1"/>
    <xf numFmtId="0" fontId="2" fillId="2" borderId="17" xfId="0" applyFont="1" applyFill="1" applyBorder="1"/>
    <xf numFmtId="0" fontId="2" fillId="2" borderId="18" xfId="0" applyFont="1" applyFill="1" applyBorder="1"/>
    <xf numFmtId="0" fontId="8" fillId="2" borderId="18" xfId="0" applyFont="1" applyFill="1" applyBorder="1"/>
    <xf numFmtId="0" fontId="2" fillId="2" borderId="21" xfId="0" applyFont="1" applyFill="1" applyBorder="1"/>
    <xf numFmtId="0" fontId="6" fillId="2" borderId="0" xfId="0" applyFont="1" applyFill="1"/>
    <xf numFmtId="9" fontId="2" fillId="2" borderId="0" xfId="0" applyNumberFormat="1" applyFont="1" applyFill="1"/>
    <xf numFmtId="0" fontId="8" fillId="2" borderId="15" xfId="0" applyFont="1" applyFill="1" applyBorder="1"/>
    <xf numFmtId="0" fontId="6" fillId="2" borderId="9" xfId="0" applyFont="1" applyFill="1" applyBorder="1" applyAlignment="1">
      <alignment horizontal="center" vertical="center" wrapText="1"/>
    </xf>
    <xf numFmtId="1" fontId="2" fillId="2" borderId="8" xfId="0" applyNumberFormat="1" applyFont="1" applyFill="1" applyBorder="1"/>
    <xf numFmtId="2" fontId="2" fillId="2" borderId="10" xfId="0" applyNumberFormat="1" applyFont="1" applyFill="1" applyBorder="1"/>
    <xf numFmtId="9" fontId="2" fillId="2" borderId="8" xfId="0" applyNumberFormat="1" applyFont="1" applyFill="1" applyBorder="1"/>
    <xf numFmtId="2" fontId="2" fillId="2" borderId="0" xfId="0" applyNumberFormat="1" applyFont="1" applyFill="1" applyBorder="1"/>
    <xf numFmtId="2" fontId="2" fillId="2" borderId="7" xfId="0" applyNumberFormat="1" applyFont="1" applyFill="1" applyBorder="1"/>
    <xf numFmtId="2" fontId="2" fillId="2" borderId="25" xfId="0" applyNumberFormat="1" applyFont="1" applyFill="1" applyBorder="1"/>
    <xf numFmtId="2" fontId="2" fillId="2" borderId="23" xfId="0" applyNumberFormat="1" applyFont="1" applyFill="1" applyBorder="1"/>
    <xf numFmtId="2" fontId="2" fillId="2" borderId="24" xfId="0" applyNumberFormat="1" applyFont="1" applyFill="1" applyBorder="1"/>
    <xf numFmtId="9" fontId="2" fillId="2" borderId="23" xfId="0" applyNumberFormat="1" applyFont="1" applyFill="1" applyBorder="1"/>
    <xf numFmtId="3" fontId="2" fillId="2" borderId="22" xfId="0" applyNumberFormat="1" applyFont="1" applyFill="1" applyBorder="1"/>
    <xf numFmtId="0" fontId="8" fillId="2" borderId="0" xfId="0" applyFont="1" applyFill="1" applyBorder="1"/>
    <xf numFmtId="1" fontId="2" fillId="2" borderId="23" xfId="0" applyNumberFormat="1" applyFont="1" applyFill="1" applyBorder="1"/>
    <xf numFmtId="0" fontId="9" fillId="4" borderId="9" xfId="0" applyFont="1" applyFill="1" applyBorder="1" applyAlignment="1">
      <alignment horizontal="center" vertical="center" wrapText="1"/>
    </xf>
    <xf numFmtId="2" fontId="2" fillId="4" borderId="8" xfId="0" applyNumberFormat="1" applyFont="1" applyFill="1" applyBorder="1"/>
    <xf numFmtId="2" fontId="2" fillId="4" borderId="22" xfId="0" applyNumberFormat="1" applyFont="1" applyFill="1" applyBorder="1"/>
    <xf numFmtId="0" fontId="3" fillId="2" borderId="0" xfId="0" applyFont="1" applyFill="1" applyBorder="1" applyAlignment="1">
      <alignment horizontal="left" vertical="top" wrapText="1"/>
    </xf>
    <xf numFmtId="9" fontId="2" fillId="2" borderId="8" xfId="0" applyNumberFormat="1" applyFont="1" applyFill="1" applyBorder="1" applyAlignment="1">
      <alignment horizontal="right"/>
    </xf>
    <xf numFmtId="9" fontId="2" fillId="2" borderId="23" xfId="0" applyNumberFormat="1" applyFont="1" applyFill="1" applyBorder="1" applyAlignment="1">
      <alignment horizontal="right"/>
    </xf>
    <xf numFmtId="0" fontId="2" fillId="2" borderId="10" xfId="0" applyFont="1" applyFill="1" applyBorder="1" applyAlignment="1">
      <alignment horizontal="right"/>
    </xf>
    <xf numFmtId="2" fontId="2" fillId="2" borderId="27" xfId="0" applyNumberFormat="1" applyFont="1" applyFill="1" applyBorder="1"/>
    <xf numFmtId="0" fontId="6" fillId="2" borderId="27" xfId="0" applyFont="1" applyFill="1" applyBorder="1" applyAlignment="1">
      <alignment horizontal="center" vertical="center" wrapText="1"/>
    </xf>
    <xf numFmtId="2" fontId="2" fillId="2" borderId="27" xfId="0" applyNumberFormat="1" applyFont="1" applyFill="1" applyBorder="1" applyAlignment="1">
      <alignment horizontal="center"/>
    </xf>
    <xf numFmtId="2" fontId="2" fillId="2" borderId="0" xfId="0" applyNumberFormat="1" applyFont="1" applyFill="1" applyBorder="1" applyAlignment="1">
      <alignment horizontal="center"/>
    </xf>
    <xf numFmtId="2" fontId="2" fillId="2" borderId="29" xfId="0" applyNumberFormat="1" applyFont="1" applyFill="1" applyBorder="1" applyAlignment="1"/>
    <xf numFmtId="3" fontId="2" fillId="2" borderId="11" xfId="0" applyNumberFormat="1" applyFont="1" applyFill="1" applyBorder="1"/>
    <xf numFmtId="3" fontId="8" fillId="2" borderId="54" xfId="0" applyNumberFormat="1" applyFont="1" applyFill="1" applyBorder="1"/>
    <xf numFmtId="3" fontId="2" fillId="2" borderId="54" xfId="0" applyNumberFormat="1" applyFont="1" applyFill="1" applyBorder="1"/>
    <xf numFmtId="3" fontId="8" fillId="2" borderId="0" xfId="0" applyNumberFormat="1" applyFont="1" applyFill="1" applyBorder="1"/>
    <xf numFmtId="3" fontId="8" fillId="2" borderId="55" xfId="0" applyNumberFormat="1" applyFont="1" applyFill="1" applyBorder="1"/>
    <xf numFmtId="3" fontId="2" fillId="2" borderId="55" xfId="0" applyNumberFormat="1" applyFont="1" applyFill="1" applyBorder="1"/>
    <xf numFmtId="0" fontId="6" fillId="0" borderId="0" xfId="0" applyFont="1" applyFill="1" applyBorder="1" applyAlignment="1">
      <alignment horizontal="center" vertical="center" wrapText="1"/>
    </xf>
    <xf numFmtId="3" fontId="2" fillId="2" borderId="10" xfId="0" applyNumberFormat="1" applyFont="1" applyFill="1" applyBorder="1"/>
    <xf numFmtId="3" fontId="2" fillId="2" borderId="52" xfId="0" applyNumberFormat="1" applyFont="1" applyFill="1" applyBorder="1"/>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3" fontId="2" fillId="0" borderId="11" xfId="0" applyNumberFormat="1" applyFont="1" applyFill="1" applyBorder="1"/>
    <xf numFmtId="0" fontId="2" fillId="2" borderId="0" xfId="0" applyFont="1" applyFill="1" applyBorder="1" applyAlignment="1">
      <alignment vertical="center"/>
    </xf>
    <xf numFmtId="0" fontId="5" fillId="2" borderId="0" xfId="0" applyFont="1" applyFill="1" applyBorder="1" applyAlignment="1">
      <alignment horizontal="left" vertical="top" wrapText="1"/>
    </xf>
    <xf numFmtId="0" fontId="4" fillId="2" borderId="0" xfId="0" applyFont="1" applyFill="1" applyBorder="1"/>
    <xf numFmtId="0" fontId="2" fillId="2" borderId="46" xfId="0" applyFont="1" applyFill="1" applyBorder="1" applyAlignment="1">
      <alignment vertical="top"/>
    </xf>
    <xf numFmtId="9" fontId="2" fillId="2" borderId="32" xfId="0" applyNumberFormat="1" applyFont="1" applyFill="1" applyBorder="1" applyProtection="1">
      <protection locked="0"/>
    </xf>
    <xf numFmtId="9" fontId="2" fillId="2" borderId="47" xfId="0" applyNumberFormat="1" applyFont="1" applyFill="1" applyBorder="1" applyProtection="1">
      <protection locked="0"/>
    </xf>
    <xf numFmtId="0" fontId="5" fillId="2" borderId="0" xfId="0" applyFont="1" applyFill="1" applyBorder="1" applyAlignment="1">
      <alignment vertical="top"/>
    </xf>
    <xf numFmtId="0" fontId="2" fillId="2" borderId="27" xfId="0" applyFont="1" applyFill="1" applyBorder="1"/>
    <xf numFmtId="2" fontId="2" fillId="2" borderId="53" xfId="0" applyNumberFormat="1" applyFont="1" applyFill="1" applyBorder="1"/>
    <xf numFmtId="0" fontId="2" fillId="5" borderId="27" xfId="0" applyFont="1" applyFill="1" applyBorder="1"/>
    <xf numFmtId="0" fontId="7" fillId="2" borderId="0" xfId="0" applyFont="1" applyFill="1" applyBorder="1" applyAlignment="1">
      <alignment horizontal="left" vertical="center" wrapText="1"/>
    </xf>
    <xf numFmtId="0" fontId="10" fillId="2" borderId="0" xfId="0" applyFont="1" applyFill="1"/>
    <xf numFmtId="0" fontId="11" fillId="2" borderId="0" xfId="0" applyFont="1" applyFill="1"/>
    <xf numFmtId="0" fontId="12" fillId="0" borderId="27" xfId="0" applyFont="1" applyFill="1" applyBorder="1"/>
    <xf numFmtId="0" fontId="13" fillId="0" borderId="27" xfId="0" applyFont="1" applyFill="1" applyBorder="1"/>
    <xf numFmtId="2" fontId="14" fillId="0" borderId="27" xfId="0" applyNumberFormat="1" applyFont="1" applyFill="1" applyBorder="1"/>
    <xf numFmtId="0" fontId="2" fillId="6" borderId="0" xfId="0" applyFont="1" applyFill="1" applyBorder="1"/>
    <xf numFmtId="0" fontId="2" fillId="6" borderId="0" xfId="0" applyFont="1" applyFill="1" applyBorder="1" applyAlignment="1">
      <alignment vertical="center"/>
    </xf>
    <xf numFmtId="0" fontId="7" fillId="8" borderId="26" xfId="0" applyFont="1" applyFill="1" applyBorder="1" applyAlignment="1">
      <alignment vertical="center" wrapText="1"/>
    </xf>
    <xf numFmtId="0" fontId="2" fillId="8" borderId="44" xfId="0" applyFont="1" applyFill="1" applyBorder="1" applyAlignment="1">
      <alignment vertical="top"/>
    </xf>
    <xf numFmtId="0" fontId="2" fillId="8" borderId="46" xfId="0" applyFont="1" applyFill="1" applyBorder="1" applyAlignment="1">
      <alignment vertical="top"/>
    </xf>
    <xf numFmtId="9" fontId="2" fillId="8" borderId="34" xfId="0" applyNumberFormat="1" applyFont="1" applyFill="1" applyBorder="1" applyProtection="1">
      <protection locked="0"/>
    </xf>
    <xf numFmtId="9" fontId="2" fillId="8" borderId="45" xfId="0" applyNumberFormat="1" applyFont="1" applyFill="1" applyBorder="1" applyProtection="1">
      <protection locked="0"/>
    </xf>
    <xf numFmtId="9" fontId="2" fillId="8" borderId="32" xfId="0" applyNumberFormat="1" applyFont="1" applyFill="1" applyBorder="1" applyProtection="1">
      <protection locked="0"/>
    </xf>
    <xf numFmtId="9" fontId="2" fillId="8" borderId="47" xfId="0" applyNumberFormat="1" applyFont="1" applyFill="1" applyBorder="1" applyProtection="1">
      <protection locked="0"/>
    </xf>
    <xf numFmtId="0" fontId="2" fillId="8" borderId="48" xfId="0" applyFont="1" applyFill="1" applyBorder="1" applyAlignment="1">
      <alignment vertical="top"/>
    </xf>
    <xf numFmtId="9" fontId="2" fillId="8" borderId="49" xfId="0" applyNumberFormat="1" applyFont="1" applyFill="1" applyBorder="1" applyProtection="1">
      <protection locked="0"/>
    </xf>
    <xf numFmtId="9" fontId="2" fillId="8" borderId="51" xfId="0" applyNumberFormat="1" applyFont="1" applyFill="1" applyBorder="1" applyProtection="1">
      <protection locked="0"/>
    </xf>
    <xf numFmtId="0" fontId="5" fillId="2" borderId="0" xfId="0" applyFont="1" applyFill="1" applyBorder="1" applyAlignment="1">
      <alignment horizontal="left" vertical="top" wrapText="1"/>
    </xf>
    <xf numFmtId="0" fontId="2" fillId="7" borderId="0" xfId="0" applyFont="1" applyFill="1" applyBorder="1"/>
    <xf numFmtId="3" fontId="6" fillId="8" borderId="34" xfId="0" applyNumberFormat="1" applyFont="1" applyFill="1" applyBorder="1" applyAlignment="1" applyProtection="1">
      <alignment vertical="top"/>
      <protection locked="0"/>
    </xf>
    <xf numFmtId="3" fontId="6" fillId="8" borderId="32" xfId="0" applyNumberFormat="1" applyFont="1" applyFill="1" applyBorder="1" applyAlignment="1" applyProtection="1">
      <alignment vertical="top"/>
      <protection locked="0"/>
    </xf>
    <xf numFmtId="3" fontId="6" fillId="2" borderId="32" xfId="0" applyNumberFormat="1" applyFont="1" applyFill="1" applyBorder="1" applyAlignment="1" applyProtection="1">
      <alignment vertical="top"/>
      <protection locked="0"/>
    </xf>
    <xf numFmtId="3" fontId="6" fillId="8" borderId="49" xfId="0" applyNumberFormat="1" applyFont="1" applyFill="1" applyBorder="1" applyAlignment="1" applyProtection="1">
      <alignment vertical="top"/>
      <protection locked="0"/>
    </xf>
    <xf numFmtId="0" fontId="2" fillId="2" borderId="0" xfId="0" applyFont="1" applyFill="1" applyBorder="1" applyAlignment="1">
      <alignment horizontal="right"/>
    </xf>
    <xf numFmtId="3" fontId="2" fillId="2" borderId="0" xfId="0" applyNumberFormat="1" applyFont="1" applyFill="1" applyBorder="1" applyAlignment="1">
      <alignment horizontal="right"/>
    </xf>
    <xf numFmtId="0" fontId="1" fillId="2" borderId="0" xfId="1" applyFill="1" applyBorder="1" applyAlignment="1"/>
    <xf numFmtId="0" fontId="17" fillId="5" borderId="15" xfId="0" applyFont="1" applyFill="1" applyBorder="1"/>
    <xf numFmtId="3" fontId="2" fillId="2" borderId="58" xfId="0" applyNumberFormat="1" applyFont="1" applyFill="1" applyBorder="1"/>
    <xf numFmtId="3" fontId="2" fillId="2" borderId="59" xfId="0" applyNumberFormat="1" applyFont="1" applyFill="1" applyBorder="1" applyAlignment="1">
      <alignment horizontal="right"/>
    </xf>
    <xf numFmtId="3" fontId="2" fillId="2" borderId="59" xfId="0" applyNumberFormat="1" applyFont="1" applyFill="1" applyBorder="1"/>
    <xf numFmtId="166" fontId="2" fillId="2" borderId="8" xfId="0" applyNumberFormat="1" applyFont="1" applyFill="1" applyBorder="1" applyAlignment="1">
      <alignment horizontal="right"/>
    </xf>
    <xf numFmtId="166" fontId="2" fillId="2" borderId="23" xfId="0" applyNumberFormat="1" applyFont="1" applyFill="1" applyBorder="1" applyAlignment="1">
      <alignment horizontal="right"/>
    </xf>
    <xf numFmtId="0" fontId="0" fillId="2" borderId="0" xfId="0" applyFill="1" applyAlignment="1">
      <alignment vertical="top" wrapText="1"/>
    </xf>
    <xf numFmtId="0" fontId="0" fillId="2" borderId="0" xfId="0" applyFill="1" applyAlignment="1">
      <alignment horizontal="left" vertical="top" wrapText="1"/>
    </xf>
    <xf numFmtId="2" fontId="2" fillId="2" borderId="60" xfId="0" applyNumberFormat="1" applyFont="1" applyFill="1" applyBorder="1"/>
    <xf numFmtId="2" fontId="2" fillId="2" borderId="29" xfId="0" applyNumberFormat="1" applyFont="1" applyFill="1" applyBorder="1"/>
    <xf numFmtId="0" fontId="6" fillId="2" borderId="61" xfId="0" applyFont="1" applyFill="1" applyBorder="1" applyAlignment="1">
      <alignment horizontal="center" vertical="center" wrapText="1"/>
    </xf>
    <xf numFmtId="2" fontId="2" fillId="2" borderId="11" xfId="0" applyNumberFormat="1" applyFont="1" applyFill="1" applyBorder="1"/>
    <xf numFmtId="9" fontId="2" fillId="2" borderId="32" xfId="0" applyNumberFormat="1" applyFont="1" applyFill="1" applyBorder="1" applyAlignment="1" applyProtection="1">
      <alignment horizontal="right"/>
      <protection locked="0"/>
    </xf>
    <xf numFmtId="0" fontId="21" fillId="2" borderId="0" xfId="0" applyFont="1" applyFill="1" applyBorder="1"/>
    <xf numFmtId="2" fontId="2" fillId="2" borderId="27" xfId="0" applyNumberFormat="1" applyFont="1" applyFill="1" applyBorder="1" applyAlignment="1">
      <alignment horizontal="right"/>
    </xf>
    <xf numFmtId="2" fontId="2" fillId="2" borderId="28" xfId="0" applyNumberFormat="1" applyFont="1" applyFill="1" applyBorder="1" applyAlignment="1"/>
    <xf numFmtId="2" fontId="2" fillId="2" borderId="63" xfId="0" applyNumberFormat="1" applyFont="1" applyFill="1" applyBorder="1" applyAlignment="1"/>
    <xf numFmtId="2" fontId="2" fillId="2" borderId="64" xfId="0" applyNumberFormat="1" applyFont="1" applyFill="1" applyBorder="1" applyAlignment="1"/>
    <xf numFmtId="2" fontId="2" fillId="0" borderId="8" xfId="0" applyNumberFormat="1" applyFont="1" applyFill="1" applyBorder="1"/>
    <xf numFmtId="2" fontId="2" fillId="0" borderId="23" xfId="0" applyNumberFormat="1" applyFont="1" applyFill="1" applyBorder="1"/>
    <xf numFmtId="2" fontId="2" fillId="2" borderId="59" xfId="0" applyNumberFormat="1" applyFont="1" applyFill="1" applyBorder="1"/>
    <xf numFmtId="0" fontId="6" fillId="2" borderId="15" xfId="0" applyFont="1" applyFill="1" applyBorder="1" applyAlignment="1">
      <alignment horizontal="center" vertical="center" wrapText="1"/>
    </xf>
    <xf numFmtId="0" fontId="0" fillId="2" borderId="0" xfId="0" applyFont="1" applyFill="1" applyAlignment="1">
      <alignment vertical="top" wrapText="1"/>
    </xf>
    <xf numFmtId="0" fontId="6" fillId="2" borderId="33" xfId="0" applyFont="1" applyFill="1" applyBorder="1" applyProtection="1">
      <protection locked="0"/>
    </xf>
    <xf numFmtId="0" fontId="6" fillId="2" borderId="50" xfId="0" applyFont="1" applyFill="1" applyBorder="1" applyProtection="1">
      <protection locked="0"/>
    </xf>
    <xf numFmtId="0" fontId="23" fillId="2" borderId="0" xfId="0" applyFont="1" applyFill="1" applyAlignment="1">
      <alignment vertical="top" wrapText="1"/>
    </xf>
    <xf numFmtId="0" fontId="23" fillId="2" borderId="0" xfId="0" applyFont="1" applyFill="1" applyAlignment="1">
      <alignment horizontal="center" vertical="top" wrapText="1"/>
    </xf>
    <xf numFmtId="0" fontId="15" fillId="2" borderId="0" xfId="0" applyFont="1" applyFill="1" applyAlignment="1">
      <alignment vertical="top" wrapText="1"/>
    </xf>
    <xf numFmtId="0" fontId="24" fillId="2" borderId="0" xfId="0" applyFont="1" applyFill="1" applyBorder="1" applyAlignment="1">
      <alignment horizontal="left" vertical="center" wrapText="1"/>
    </xf>
    <xf numFmtId="0" fontId="24" fillId="6" borderId="0"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6" borderId="0" xfId="0" applyFont="1" applyFill="1" applyBorder="1" applyAlignment="1">
      <alignment horizontal="left" vertical="center" wrapText="1"/>
    </xf>
    <xf numFmtId="0" fontId="24" fillId="8" borderId="14" xfId="0" applyFont="1" applyFill="1" applyBorder="1" applyAlignment="1">
      <alignment horizontal="left" vertical="center" wrapText="1"/>
    </xf>
    <xf numFmtId="0" fontId="24" fillId="8" borderId="0" xfId="0" applyFont="1" applyFill="1" applyBorder="1" applyAlignment="1">
      <alignment horizontal="right" vertical="center" wrapText="1"/>
    </xf>
    <xf numFmtId="49" fontId="29" fillId="0" borderId="26" xfId="0" applyNumberFormat="1" applyFont="1" applyFill="1" applyBorder="1" applyAlignment="1" applyProtection="1">
      <alignment horizontal="center" vertical="center" wrapText="1"/>
      <protection locked="0"/>
    </xf>
    <xf numFmtId="3" fontId="29" fillId="0" borderId="26" xfId="0" applyNumberFormat="1" applyFont="1" applyFill="1" applyBorder="1" applyAlignment="1" applyProtection="1">
      <alignment horizontal="center" vertical="center" wrapText="1"/>
      <protection locked="0"/>
    </xf>
    <xf numFmtId="0" fontId="24" fillId="8" borderId="0" xfId="0" applyFont="1" applyFill="1" applyBorder="1" applyAlignment="1">
      <alignment horizontal="left" vertical="center" wrapText="1"/>
    </xf>
    <xf numFmtId="0" fontId="24" fillId="8" borderId="20" xfId="0" applyFont="1" applyFill="1" applyBorder="1" applyAlignment="1">
      <alignment horizontal="left" vertical="center" wrapText="1"/>
    </xf>
    <xf numFmtId="165" fontId="24" fillId="2" borderId="0" xfId="0" applyNumberFormat="1" applyFont="1" applyFill="1" applyBorder="1" applyAlignment="1">
      <alignment horizontal="left" vertical="center" wrapText="1"/>
    </xf>
    <xf numFmtId="164" fontId="24" fillId="2" borderId="0" xfId="0" applyNumberFormat="1" applyFont="1" applyFill="1" applyBorder="1" applyAlignment="1">
      <alignment horizontal="left" vertical="center" wrapText="1"/>
    </xf>
    <xf numFmtId="165" fontId="24" fillId="6" borderId="0" xfId="0" applyNumberFormat="1" applyFont="1" applyFill="1" applyBorder="1" applyAlignment="1">
      <alignment horizontal="left" vertical="center" wrapText="1"/>
    </xf>
    <xf numFmtId="0" fontId="31" fillId="8" borderId="17" xfId="0" applyFont="1" applyFill="1" applyBorder="1" applyAlignment="1">
      <alignment horizontal="left" vertical="top" wrapText="1"/>
    </xf>
    <xf numFmtId="0" fontId="24" fillId="8" borderId="18" xfId="0" applyFont="1" applyFill="1" applyBorder="1" applyAlignment="1">
      <alignment horizontal="left" vertical="center" wrapText="1"/>
    </xf>
    <xf numFmtId="0" fontId="29" fillId="8" borderId="18" xfId="0" applyFont="1" applyFill="1" applyBorder="1" applyAlignment="1">
      <alignment horizontal="left" vertical="center" wrapText="1"/>
    </xf>
    <xf numFmtId="3" fontId="24" fillId="8" borderId="18" xfId="0" applyNumberFormat="1" applyFont="1" applyFill="1" applyBorder="1" applyAlignment="1">
      <alignment horizontal="center" vertical="center" wrapText="1"/>
    </xf>
    <xf numFmtId="0" fontId="24" fillId="8" borderId="21" xfId="0" applyFont="1" applyFill="1" applyBorder="1" applyAlignment="1">
      <alignment horizontal="left" vertical="center" wrapText="1"/>
    </xf>
    <xf numFmtId="0" fontId="24" fillId="2" borderId="0" xfId="0" applyFont="1" applyFill="1" applyBorder="1" applyAlignment="1">
      <alignment horizontal="left" vertical="top" wrapText="1"/>
    </xf>
    <xf numFmtId="0" fontId="29" fillId="2" borderId="0" xfId="0" applyFont="1" applyFill="1" applyBorder="1" applyAlignment="1">
      <alignment horizontal="left" vertical="center" wrapText="1"/>
    </xf>
    <xf numFmtId="3" fontId="24" fillId="2" borderId="0" xfId="0" applyNumberFormat="1" applyFont="1" applyFill="1" applyBorder="1" applyAlignment="1">
      <alignment horizontal="center" vertical="center" wrapText="1"/>
    </xf>
    <xf numFmtId="0" fontId="24" fillId="8" borderId="1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33" fillId="0" borderId="26" xfId="1" applyFont="1" applyFill="1" applyBorder="1" applyAlignment="1">
      <alignment horizontal="center" vertical="center" wrapText="1"/>
    </xf>
    <xf numFmtId="0" fontId="29" fillId="8" borderId="17" xfId="0" applyFont="1" applyFill="1" applyBorder="1" applyAlignment="1">
      <alignment horizontal="left" vertical="center" wrapText="1"/>
    </xf>
    <xf numFmtId="0" fontId="30" fillId="8" borderId="18" xfId="0" applyFont="1" applyFill="1" applyBorder="1" applyAlignment="1">
      <alignment horizontal="left" vertical="center" wrapText="1"/>
    </xf>
    <xf numFmtId="0" fontId="29" fillId="8" borderId="18" xfId="0" applyFont="1" applyFill="1" applyBorder="1" applyAlignment="1">
      <alignment horizontal="center" vertical="center" wrapText="1"/>
    </xf>
    <xf numFmtId="0" fontId="29" fillId="8" borderId="21" xfId="0" applyFont="1" applyFill="1" applyBorder="1" applyAlignment="1">
      <alignment horizontal="center" vertical="center" wrapText="1"/>
    </xf>
    <xf numFmtId="49" fontId="27" fillId="9" borderId="15" xfId="0" applyNumberFormat="1" applyFont="1" applyFill="1" applyBorder="1" applyAlignment="1">
      <alignment horizontal="center" vertical="center" wrapText="1"/>
    </xf>
    <xf numFmtId="3" fontId="27" fillId="9" borderId="15" xfId="0" applyNumberFormat="1" applyFont="1" applyFill="1" applyBorder="1" applyAlignment="1">
      <alignment horizontal="center" vertical="center" wrapText="1"/>
    </xf>
    <xf numFmtId="3" fontId="27" fillId="9" borderId="19" xfId="0" applyNumberFormat="1" applyFont="1" applyFill="1" applyBorder="1" applyAlignment="1">
      <alignment horizontal="center" vertical="center" wrapText="1"/>
    </xf>
    <xf numFmtId="0" fontId="24" fillId="9" borderId="14" xfId="0" applyFont="1" applyFill="1" applyBorder="1" applyAlignment="1">
      <alignment horizontal="left" vertical="center" wrapText="1"/>
    </xf>
    <xf numFmtId="0" fontId="24" fillId="9" borderId="0" xfId="0" applyFont="1" applyFill="1" applyBorder="1" applyAlignment="1">
      <alignment horizontal="left" vertical="center" wrapText="1"/>
    </xf>
    <xf numFmtId="0" fontId="24" fillId="9" borderId="20" xfId="0" applyFont="1" applyFill="1" applyBorder="1" applyAlignment="1">
      <alignment horizontal="left" vertical="center" wrapText="1"/>
    </xf>
    <xf numFmtId="2" fontId="29" fillId="0" borderId="27" xfId="0" applyNumberFormat="1" applyFont="1" applyFill="1" applyBorder="1" applyAlignment="1">
      <alignment horizontal="center" vertical="center" wrapText="1"/>
    </xf>
    <xf numFmtId="0" fontId="24" fillId="9" borderId="14" xfId="0" applyFont="1" applyFill="1" applyBorder="1" applyAlignment="1">
      <alignment horizontal="right" vertical="center" wrapText="1"/>
    </xf>
    <xf numFmtId="0" fontId="24" fillId="9" borderId="0" xfId="0" applyFont="1" applyFill="1" applyBorder="1" applyAlignment="1">
      <alignment horizontal="right" vertical="center" wrapText="1"/>
    </xf>
    <xf numFmtId="2" fontId="24" fillId="9" borderId="0" xfId="0" applyNumberFormat="1" applyFont="1" applyFill="1" applyBorder="1" applyAlignment="1">
      <alignment horizontal="center" vertical="center" wrapText="1"/>
    </xf>
    <xf numFmtId="0" fontId="29" fillId="9" borderId="17" xfId="0" applyFont="1" applyFill="1" applyBorder="1" applyAlignment="1">
      <alignment horizontal="right" vertical="center" wrapText="1"/>
    </xf>
    <xf numFmtId="0" fontId="29" fillId="9" borderId="18" xfId="0" applyFont="1" applyFill="1" applyBorder="1" applyAlignment="1">
      <alignment horizontal="right" vertical="center" wrapText="1"/>
    </xf>
    <xf numFmtId="0" fontId="29" fillId="9" borderId="18" xfId="0" applyFont="1" applyFill="1" applyBorder="1" applyAlignment="1">
      <alignment horizontal="left" vertical="center" wrapText="1"/>
    </xf>
    <xf numFmtId="0" fontId="24" fillId="9" borderId="18" xfId="0" applyFont="1" applyFill="1" applyBorder="1" applyAlignment="1">
      <alignment horizontal="left" vertical="center" wrapText="1"/>
    </xf>
    <xf numFmtId="0" fontId="24" fillId="9" borderId="21" xfId="0" applyFont="1" applyFill="1" applyBorder="1" applyAlignment="1">
      <alignment horizontal="left" vertical="center" wrapText="1"/>
    </xf>
    <xf numFmtId="0" fontId="29" fillId="2" borderId="0" xfId="0" applyFont="1" applyFill="1" applyAlignment="1">
      <alignment horizontal="right" vertical="center" wrapText="1"/>
    </xf>
    <xf numFmtId="0" fontId="24" fillId="2" borderId="0" xfId="1" applyFont="1" applyFill="1" applyBorder="1" applyAlignment="1">
      <alignment horizontal="left" vertical="top" wrapText="1"/>
    </xf>
    <xf numFmtId="0" fontId="29" fillId="10" borderId="14" xfId="0" applyFont="1" applyFill="1" applyBorder="1" applyAlignment="1">
      <alignment horizontal="right" vertical="center" wrapText="1"/>
    </xf>
    <xf numFmtId="0" fontId="24" fillId="10" borderId="0" xfId="0" applyFont="1" applyFill="1" applyBorder="1" applyAlignment="1">
      <alignment horizontal="center" vertical="center" wrapText="1"/>
    </xf>
    <xf numFmtId="164" fontId="29" fillId="0" borderId="27" xfId="0" applyNumberFormat="1" applyFont="1" applyFill="1" applyBorder="1" applyAlignment="1">
      <alignment horizontal="center" vertical="center" wrapText="1"/>
    </xf>
    <xf numFmtId="0" fontId="24" fillId="10" borderId="20" xfId="0" applyFont="1" applyFill="1" applyBorder="1" applyAlignment="1">
      <alignment horizontal="left" vertical="center" wrapText="1"/>
    </xf>
    <xf numFmtId="2" fontId="24" fillId="0" borderId="27" xfId="0" applyNumberFormat="1" applyFont="1" applyFill="1" applyBorder="1" applyAlignment="1">
      <alignment horizontal="center" vertical="center" wrapText="1"/>
    </xf>
    <xf numFmtId="164" fontId="24" fillId="0" borderId="27" xfId="0" applyNumberFormat="1" applyFont="1" applyFill="1" applyBorder="1" applyAlignment="1">
      <alignment horizontal="center" vertical="center" wrapText="1"/>
    </xf>
    <xf numFmtId="0" fontId="24" fillId="10" borderId="0" xfId="0" applyFont="1" applyFill="1" applyBorder="1" applyAlignment="1">
      <alignment horizontal="left" vertical="center" wrapText="1"/>
    </xf>
    <xf numFmtId="164" fontId="24" fillId="10" borderId="0" xfId="0" applyNumberFormat="1" applyFont="1" applyFill="1" applyBorder="1" applyAlignment="1">
      <alignment horizontal="center" vertical="center" wrapText="1"/>
    </xf>
    <xf numFmtId="0" fontId="24" fillId="10" borderId="14" xfId="0" applyFont="1" applyFill="1" applyBorder="1" applyAlignment="1">
      <alignment horizontal="left" vertical="center" wrapText="1"/>
    </xf>
    <xf numFmtId="0" fontId="31" fillId="10" borderId="21" xfId="0" applyFont="1" applyFill="1" applyBorder="1" applyAlignment="1">
      <alignment vertical="center" wrapText="1"/>
    </xf>
    <xf numFmtId="0" fontId="24" fillId="2" borderId="14"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36" fillId="2" borderId="14" xfId="0" applyFont="1" applyFill="1" applyBorder="1" applyAlignment="1">
      <alignment horizontal="left" vertical="center" wrapText="1"/>
    </xf>
    <xf numFmtId="0" fontId="36" fillId="2" borderId="0" xfId="0" applyFont="1" applyFill="1" applyBorder="1" applyAlignment="1">
      <alignment horizontal="left" vertical="center" wrapText="1"/>
    </xf>
    <xf numFmtId="0" fontId="36" fillId="2" borderId="20" xfId="0" applyFont="1" applyFill="1" applyBorder="1" applyAlignment="1">
      <alignment horizontal="left" vertical="center" wrapText="1"/>
    </xf>
    <xf numFmtId="0" fontId="35" fillId="2" borderId="14" xfId="0" applyFont="1" applyFill="1" applyBorder="1" applyAlignment="1">
      <alignment horizontal="right" vertical="center" wrapText="1"/>
    </xf>
    <xf numFmtId="2" fontId="35" fillId="11" borderId="27" xfId="0" applyNumberFormat="1" applyFont="1" applyFill="1" applyBorder="1" applyAlignment="1">
      <alignment horizontal="center" vertical="center" wrapText="1"/>
    </xf>
    <xf numFmtId="0" fontId="36" fillId="2" borderId="0" xfId="0" applyFont="1" applyFill="1" applyBorder="1" applyAlignment="1">
      <alignment horizontal="center" vertical="center" wrapText="1"/>
    </xf>
    <xf numFmtId="164" fontId="35" fillId="11" borderId="27" xfId="0" applyNumberFormat="1" applyFont="1" applyFill="1" applyBorder="1" applyAlignment="1">
      <alignment horizontal="center" vertical="center" wrapText="1"/>
    </xf>
    <xf numFmtId="164" fontId="35" fillId="3" borderId="27" xfId="0" applyNumberFormat="1" applyFont="1" applyFill="1" applyBorder="1" applyAlignment="1">
      <alignment horizontal="center" vertical="center" wrapText="1"/>
    </xf>
    <xf numFmtId="164" fontId="36" fillId="11" borderId="27" xfId="0" applyNumberFormat="1" applyFont="1" applyFill="1" applyBorder="1" applyAlignment="1">
      <alignment horizontal="center" vertical="center" wrapText="1"/>
    </xf>
    <xf numFmtId="164" fontId="36" fillId="3" borderId="27" xfId="0" applyNumberFormat="1" applyFont="1" applyFill="1" applyBorder="1" applyAlignment="1">
      <alignment horizontal="center" vertical="center" wrapText="1"/>
    </xf>
    <xf numFmtId="2" fontId="35" fillId="11" borderId="29" xfId="0" applyNumberFormat="1" applyFont="1" applyFill="1" applyBorder="1" applyAlignment="1">
      <alignment horizontal="center" vertical="center" wrapText="1"/>
    </xf>
    <xf numFmtId="164" fontId="36" fillId="11" borderId="29" xfId="0" applyNumberFormat="1" applyFont="1" applyFill="1" applyBorder="1" applyAlignment="1">
      <alignment horizontal="center" vertical="center" wrapText="1"/>
    </xf>
    <xf numFmtId="164" fontId="36" fillId="3" borderId="29" xfId="0" applyNumberFormat="1" applyFont="1" applyFill="1" applyBorder="1" applyAlignment="1">
      <alignment horizontal="center" vertical="center" wrapText="1"/>
    </xf>
    <xf numFmtId="0" fontId="35" fillId="2" borderId="31" xfId="0" applyFont="1" applyFill="1" applyBorder="1" applyAlignment="1">
      <alignment horizontal="left" vertical="center" wrapText="1"/>
    </xf>
    <xf numFmtId="164" fontId="36" fillId="2" borderId="30" xfId="0" applyNumberFormat="1" applyFont="1" applyFill="1" applyBorder="1" applyAlignment="1">
      <alignment horizontal="center" vertical="center" wrapText="1"/>
    </xf>
    <xf numFmtId="164" fontId="36" fillId="2" borderId="31" xfId="0" applyNumberFormat="1" applyFont="1" applyFill="1" applyBorder="1" applyAlignment="1">
      <alignment horizontal="center" vertical="center" wrapText="1"/>
    </xf>
    <xf numFmtId="0" fontId="24" fillId="2" borderId="17"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5" fillId="2" borderId="0" xfId="0" applyFont="1" applyFill="1" applyBorder="1" applyAlignment="1">
      <alignment horizontal="left" vertical="top" wrapText="1"/>
    </xf>
    <xf numFmtId="0" fontId="33" fillId="10" borderId="17" xfId="1" applyFont="1" applyFill="1" applyBorder="1" applyAlignment="1">
      <alignment horizontal="right" vertical="top" wrapText="1"/>
    </xf>
    <xf numFmtId="0" fontId="33" fillId="10" borderId="18" xfId="1" applyFont="1" applyFill="1" applyBorder="1" applyAlignment="1">
      <alignment horizontal="right" vertical="top" wrapText="1"/>
    </xf>
    <xf numFmtId="0" fontId="27" fillId="8" borderId="16" xfId="0" applyFont="1" applyFill="1" applyBorder="1" applyAlignment="1">
      <alignment horizontal="left" vertical="center" wrapText="1"/>
    </xf>
    <xf numFmtId="0" fontId="27" fillId="8" borderId="15" xfId="0" applyFont="1" applyFill="1" applyBorder="1" applyAlignment="1">
      <alignment horizontal="left" vertical="center" wrapText="1"/>
    </xf>
    <xf numFmtId="0" fontId="27" fillId="8" borderId="19" xfId="0" applyFont="1" applyFill="1" applyBorder="1" applyAlignment="1">
      <alignment horizontal="left" vertical="center" wrapText="1"/>
    </xf>
    <xf numFmtId="0" fontId="24" fillId="9" borderId="14" xfId="0" applyFont="1" applyFill="1" applyBorder="1" applyAlignment="1">
      <alignment horizontal="right" vertical="center" wrapText="1"/>
    </xf>
    <xf numFmtId="0" fontId="24" fillId="9" borderId="0" xfId="0" applyFont="1" applyFill="1" applyBorder="1" applyAlignment="1">
      <alignment horizontal="right" vertical="center" wrapText="1"/>
    </xf>
    <xf numFmtId="0" fontId="24" fillId="9" borderId="0" xfId="0" applyFont="1" applyFill="1" applyBorder="1" applyAlignment="1">
      <alignment horizontal="left" vertical="center" wrapText="1"/>
    </xf>
    <xf numFmtId="0" fontId="24" fillId="9" borderId="20" xfId="0" applyFont="1" applyFill="1" applyBorder="1" applyAlignment="1">
      <alignment horizontal="left" vertical="center" wrapText="1"/>
    </xf>
    <xf numFmtId="0" fontId="24" fillId="8" borderId="14" xfId="0" applyFont="1" applyFill="1" applyBorder="1" applyAlignment="1">
      <alignment horizontal="left" vertical="center" wrapText="1"/>
    </xf>
    <xf numFmtId="0" fontId="30" fillId="8" borderId="20" xfId="0" applyFont="1" applyFill="1" applyBorder="1" applyAlignment="1">
      <alignment horizontal="left" vertical="center" wrapText="1"/>
    </xf>
    <xf numFmtId="0" fontId="24" fillId="9" borderId="28" xfId="0" applyFont="1" applyFill="1" applyBorder="1" applyAlignment="1">
      <alignment horizontal="right" vertical="center" wrapText="1"/>
    </xf>
    <xf numFmtId="0" fontId="27" fillId="9" borderId="16" xfId="0" applyFont="1" applyFill="1" applyBorder="1" applyAlignment="1">
      <alignment horizontal="left" vertical="center" wrapText="1"/>
    </xf>
    <xf numFmtId="0" fontId="32" fillId="9" borderId="15" xfId="0" applyFont="1" applyFill="1" applyBorder="1" applyAlignment="1">
      <alignment horizontal="left" vertical="center" wrapText="1"/>
    </xf>
    <xf numFmtId="0" fontId="27" fillId="8" borderId="14"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2" borderId="20" xfId="0" applyFont="1" applyFill="1" applyBorder="1" applyAlignment="1">
      <alignment horizontal="left" vertical="center" wrapText="1"/>
    </xf>
    <xf numFmtId="0" fontId="24" fillId="12" borderId="14" xfId="0" applyFont="1" applyFill="1" applyBorder="1" applyAlignment="1">
      <alignment horizontal="left" vertical="top" wrapText="1"/>
    </xf>
    <xf numFmtId="0" fontId="24" fillId="12" borderId="0" xfId="0" applyFont="1" applyFill="1" applyBorder="1" applyAlignment="1">
      <alignment horizontal="left" vertical="top" wrapText="1"/>
    </xf>
    <xf numFmtId="0" fontId="24" fillId="12" borderId="20" xfId="0" applyFont="1" applyFill="1" applyBorder="1" applyAlignment="1">
      <alignment horizontal="left" vertical="top" wrapText="1"/>
    </xf>
    <xf numFmtId="0" fontId="30" fillId="8" borderId="14" xfId="0" applyFont="1" applyFill="1" applyBorder="1" applyAlignment="1">
      <alignment horizontal="left" vertical="center" wrapText="1"/>
    </xf>
    <xf numFmtId="0" fontId="27" fillId="12" borderId="16" xfId="0" applyFont="1" applyFill="1" applyBorder="1" applyAlignment="1">
      <alignment horizontal="left" vertical="center" wrapText="1"/>
    </xf>
    <xf numFmtId="0" fontId="27" fillId="12" borderId="15" xfId="0" applyFont="1" applyFill="1" applyBorder="1" applyAlignment="1">
      <alignment horizontal="left" vertical="center" wrapText="1"/>
    </xf>
    <xf numFmtId="0" fontId="27" fillId="12" borderId="19" xfId="0" applyFont="1" applyFill="1" applyBorder="1" applyAlignment="1">
      <alignment horizontal="left" vertical="center" wrapText="1"/>
    </xf>
    <xf numFmtId="0" fontId="34" fillId="12" borderId="17" xfId="1" applyFont="1" applyFill="1" applyBorder="1" applyAlignment="1">
      <alignment horizontal="left" vertical="top" wrapText="1"/>
    </xf>
    <xf numFmtId="0" fontId="34" fillId="12" borderId="18" xfId="1" applyFont="1" applyFill="1" applyBorder="1" applyAlignment="1">
      <alignment horizontal="left" vertical="top" wrapText="1"/>
    </xf>
    <xf numFmtId="0" fontId="34" fillId="12" borderId="21" xfId="1" applyFont="1" applyFill="1" applyBorder="1" applyAlignment="1">
      <alignment horizontal="left" vertical="top" wrapText="1"/>
    </xf>
    <xf numFmtId="0" fontId="27" fillId="10" borderId="16" xfId="0" applyFont="1" applyFill="1" applyBorder="1" applyAlignment="1">
      <alignment horizontal="left" vertical="center" wrapText="1"/>
    </xf>
    <xf numFmtId="0" fontId="27" fillId="10" borderId="15" xfId="0" applyFont="1" applyFill="1" applyBorder="1" applyAlignment="1">
      <alignment horizontal="left" vertical="center" wrapText="1"/>
    </xf>
    <xf numFmtId="0" fontId="27" fillId="10" borderId="19" xfId="0" applyFont="1" applyFill="1" applyBorder="1" applyAlignment="1">
      <alignment horizontal="left" vertical="center" wrapText="1"/>
    </xf>
    <xf numFmtId="0" fontId="29" fillId="10" borderId="14" xfId="0" applyFont="1" applyFill="1" applyBorder="1" applyAlignment="1">
      <alignment horizontal="left" vertical="center" wrapText="1"/>
    </xf>
    <xf numFmtId="0" fontId="29" fillId="10" borderId="0"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4" fillId="2" borderId="40" xfId="0" applyFont="1" applyFill="1" applyBorder="1" applyAlignment="1">
      <alignment horizontal="right" vertical="center" wrapText="1"/>
    </xf>
    <xf numFmtId="0" fontId="4" fillId="2" borderId="35" xfId="0" applyFont="1" applyFill="1" applyBorder="1" applyAlignment="1">
      <alignment horizontal="right" vertical="center" wrapText="1"/>
    </xf>
    <xf numFmtId="0" fontId="4" fillId="2" borderId="41" xfId="0" applyFont="1" applyFill="1" applyBorder="1" applyAlignment="1">
      <alignment horizontal="right" vertical="center" wrapText="1"/>
    </xf>
    <xf numFmtId="0" fontId="4" fillId="2" borderId="43" xfId="0" applyFont="1" applyFill="1" applyBorder="1" applyAlignment="1">
      <alignment horizontal="right" vertical="center" wrapText="1"/>
    </xf>
    <xf numFmtId="0" fontId="4" fillId="2" borderId="37" xfId="0" applyFont="1" applyFill="1" applyBorder="1" applyAlignment="1">
      <alignment horizontal="left" vertical="center" wrapText="1"/>
    </xf>
    <xf numFmtId="0" fontId="4" fillId="2" borderId="42" xfId="0" applyFont="1" applyFill="1" applyBorder="1" applyAlignment="1">
      <alignment horizontal="left" vertical="center" wrapText="1"/>
    </xf>
    <xf numFmtId="3" fontId="4" fillId="8" borderId="12" xfId="0" applyNumberFormat="1" applyFont="1" applyFill="1" applyBorder="1" applyAlignment="1">
      <alignment horizontal="center"/>
    </xf>
    <xf numFmtId="3" fontId="4" fillId="8" borderId="13" xfId="0" applyNumberFormat="1" applyFont="1" applyFill="1" applyBorder="1" applyAlignment="1">
      <alignment horizontal="center"/>
    </xf>
    <xf numFmtId="0" fontId="4" fillId="8" borderId="12" xfId="0" applyFont="1" applyFill="1" applyBorder="1" applyAlignment="1">
      <alignment horizontal="center"/>
    </xf>
    <xf numFmtId="0" fontId="4" fillId="8" borderId="13" xfId="0" applyFont="1" applyFill="1" applyBorder="1" applyAlignment="1">
      <alignment horizontal="center"/>
    </xf>
    <xf numFmtId="0" fontId="6" fillId="2" borderId="62" xfId="0" applyFont="1" applyFill="1" applyBorder="1" applyAlignment="1">
      <alignment horizontal="center" vertical="center" wrapText="1"/>
    </xf>
    <xf numFmtId="0" fontId="0" fillId="0" borderId="62" xfId="0" applyBorder="1" applyAlignment="1">
      <alignment horizontal="center" vertical="center" wrapText="1"/>
    </xf>
    <xf numFmtId="0" fontId="1" fillId="2" borderId="18" xfId="1" applyFill="1" applyBorder="1" applyAlignment="1">
      <alignment horizontal="left" vertical="top" wrapText="1"/>
    </xf>
    <xf numFmtId="0" fontId="5" fillId="2" borderId="0" xfId="0" applyFont="1" applyFill="1" applyBorder="1" applyAlignment="1">
      <alignment horizontal="left" vertical="top" wrapText="1"/>
    </xf>
    <xf numFmtId="0" fontId="6" fillId="0" borderId="62" xfId="0" applyFont="1" applyFill="1" applyBorder="1" applyAlignment="1">
      <alignment horizontal="center" vertical="center" wrapText="1"/>
    </xf>
    <xf numFmtId="0" fontId="19" fillId="0" borderId="6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CCFFFF"/>
      <color rgb="FFFFFF66"/>
      <color rgb="FFCCFF99"/>
      <color rgb="FFD9FFFF"/>
      <color rgb="FF66FFFF"/>
      <color rgb="FFCCFF66"/>
      <color rgb="FFCCECFF"/>
      <color rgb="FF99CC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NW\Current%20Projects\3-021-1516%20Cheltenham%20BC%20&#8211;%20Green%20Space,%20Recreational,%20Community%20etc.%20Infrastructure\Databases\PPS\Cheltenham%20&amp;%20Tewkesbury%20PPS%20database%20v12.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loud/sites/FacilitiesPlanning/Planning/Planning%20Hubs/North/Playing%20Pitch%20Strategies/Liverpool/Final%20PPS%202013/Liverpool%20SE%20TLPF%20database%20v10%20-%2015th%20February%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Start"/>
      <sheetName val="DropDowns"/>
      <sheetName val="Step 4 (Sites)"/>
      <sheetName val="Step 4 (lapsed Sites)"/>
      <sheetName val="Step 4&amp;6 (Pitches)"/>
      <sheetName val="Step 5 (Clubs)"/>
      <sheetName val="Step 5 (Teams)"/>
      <sheetName val="Step 5 (Displaced)"/>
      <sheetName val="Step 5 (Education Demand)"/>
      <sheetName val="Step 5 (Education Supply)"/>
      <sheetName val="Step 5 (TGR's)"/>
      <sheetName val="Step 5 (TGR's) (NEW)"/>
      <sheetName val="Step 7 (Current Picture)"/>
      <sheetName val="Mapinfo"/>
    </sheetNames>
    <sheetDataSet>
      <sheetData sheetId="0"/>
      <sheetData sheetId="1">
        <row r="30">
          <cell r="X30" t="str">
            <v>ALL ANALYSIS AREAS</v>
          </cell>
          <cell r="Y30">
            <v>37965</v>
          </cell>
          <cell r="Z30">
            <v>34441</v>
          </cell>
          <cell r="AA30">
            <v>34441</v>
          </cell>
          <cell r="AB30">
            <v>50142</v>
          </cell>
          <cell r="AC30">
            <v>52462</v>
          </cell>
          <cell r="AD30">
            <v>38189</v>
          </cell>
          <cell r="AE30">
            <v>34667</v>
          </cell>
          <cell r="AF30">
            <v>34667</v>
          </cell>
          <cell r="AG30">
            <v>50394</v>
          </cell>
          <cell r="AH30">
            <v>52712</v>
          </cell>
          <cell r="AI30">
            <v>4306</v>
          </cell>
          <cell r="AJ30">
            <v>2126</v>
          </cell>
          <cell r="AK30">
            <v>6781</v>
          </cell>
          <cell r="AL30">
            <v>7830</v>
          </cell>
          <cell r="AM30">
            <v>13368</v>
          </cell>
          <cell r="AN30">
            <v>5381</v>
          </cell>
          <cell r="AO30">
            <v>4226</v>
          </cell>
          <cell r="AP30">
            <v>2070</v>
          </cell>
          <cell r="AQ30">
            <v>6691</v>
          </cell>
          <cell r="AR30">
            <v>7748</v>
          </cell>
          <cell r="AS30">
            <v>13077</v>
          </cell>
          <cell r="AT30">
            <v>5312</v>
          </cell>
          <cell r="AU30">
            <v>4387</v>
          </cell>
          <cell r="AV30">
            <v>4580</v>
          </cell>
          <cell r="AW30">
            <v>12973</v>
          </cell>
          <cell r="AX30">
            <v>10867</v>
          </cell>
        </row>
        <row r="31">
          <cell r="X31" t="str">
            <v>Cheltenham</v>
          </cell>
          <cell r="Y31">
            <v>24088</v>
          </cell>
          <cell r="Z31">
            <v>22011</v>
          </cell>
          <cell r="AA31">
            <v>22011</v>
          </cell>
          <cell r="AB31">
            <v>30791</v>
          </cell>
          <cell r="AC31">
            <v>32149</v>
          </cell>
          <cell r="AD31">
            <v>24053</v>
          </cell>
          <cell r="AE31">
            <v>21860</v>
          </cell>
          <cell r="AF31">
            <v>21860</v>
          </cell>
          <cell r="AG31">
            <v>30660</v>
          </cell>
          <cell r="AH31">
            <v>32067</v>
          </cell>
          <cell r="AI31">
            <v>2438</v>
          </cell>
          <cell r="AJ31">
            <v>1194</v>
          </cell>
          <cell r="AK31">
            <v>3913</v>
          </cell>
          <cell r="AL31">
            <v>4515</v>
          </cell>
          <cell r="AM31">
            <v>7649</v>
          </cell>
          <cell r="AN31">
            <v>3077</v>
          </cell>
          <cell r="AO31">
            <v>2510</v>
          </cell>
          <cell r="AP31">
            <v>1147</v>
          </cell>
          <cell r="AQ31">
            <v>4054</v>
          </cell>
          <cell r="AR31">
            <v>4703</v>
          </cell>
          <cell r="AS31">
            <v>7712</v>
          </cell>
          <cell r="AT31">
            <v>3109</v>
          </cell>
          <cell r="AU31">
            <v>2517</v>
          </cell>
          <cell r="AV31">
            <v>2585</v>
          </cell>
          <cell r="AW31">
            <v>7394</v>
          </cell>
          <cell r="AX31">
            <v>6143</v>
          </cell>
        </row>
        <row r="32">
          <cell r="X32" t="str">
            <v>Tewkesbury</v>
          </cell>
          <cell r="Y32">
            <v>13877</v>
          </cell>
          <cell r="Z32">
            <v>12430</v>
          </cell>
          <cell r="AA32">
            <v>12430</v>
          </cell>
          <cell r="AB32">
            <v>19351</v>
          </cell>
          <cell r="AC32">
            <v>20313</v>
          </cell>
          <cell r="AD32">
            <v>14136</v>
          </cell>
          <cell r="AE32">
            <v>12807</v>
          </cell>
          <cell r="AF32">
            <v>12807</v>
          </cell>
          <cell r="AG32">
            <v>19734</v>
          </cell>
          <cell r="AH32">
            <v>20645</v>
          </cell>
          <cell r="AI32">
            <v>1868</v>
          </cell>
          <cell r="AJ32">
            <v>932</v>
          </cell>
          <cell r="AK32">
            <v>2868</v>
          </cell>
          <cell r="AL32">
            <v>3315</v>
          </cell>
          <cell r="AM32">
            <v>5719</v>
          </cell>
          <cell r="AN32">
            <v>2304</v>
          </cell>
          <cell r="AO32">
            <v>1716</v>
          </cell>
          <cell r="AP32">
            <v>923</v>
          </cell>
          <cell r="AQ32">
            <v>2637</v>
          </cell>
          <cell r="AR32">
            <v>3045</v>
          </cell>
          <cell r="AS32">
            <v>5365</v>
          </cell>
          <cell r="AT32">
            <v>2203</v>
          </cell>
          <cell r="AU32">
            <v>1870</v>
          </cell>
          <cell r="AV32">
            <v>1995</v>
          </cell>
          <cell r="AW32">
            <v>5579</v>
          </cell>
          <cell r="AX32">
            <v>4724</v>
          </cell>
        </row>
        <row r="33">
          <cell r="X33" t="str">
            <v>Tewkesbury Area 1</v>
          </cell>
          <cell r="Y33">
            <v>1387</v>
          </cell>
          <cell r="Z33">
            <v>1191</v>
          </cell>
          <cell r="AA33">
            <v>1191</v>
          </cell>
          <cell r="AB33">
            <v>2044</v>
          </cell>
          <cell r="AC33">
            <v>2181</v>
          </cell>
          <cell r="AD33">
            <v>1443</v>
          </cell>
          <cell r="AE33">
            <v>1285</v>
          </cell>
          <cell r="AF33">
            <v>1285</v>
          </cell>
          <cell r="AG33">
            <v>2226</v>
          </cell>
          <cell r="AH33">
            <v>2326</v>
          </cell>
          <cell r="AI33">
            <v>209</v>
          </cell>
          <cell r="AJ33">
            <v>98</v>
          </cell>
          <cell r="AK33">
            <v>356</v>
          </cell>
          <cell r="AL33">
            <v>405</v>
          </cell>
          <cell r="AM33">
            <v>654</v>
          </cell>
          <cell r="AN33">
            <v>246</v>
          </cell>
          <cell r="AO33">
            <v>231</v>
          </cell>
          <cell r="AP33">
            <v>114</v>
          </cell>
          <cell r="AQ33">
            <v>328</v>
          </cell>
          <cell r="AR33">
            <v>389</v>
          </cell>
          <cell r="AS33">
            <v>657</v>
          </cell>
          <cell r="AT33">
            <v>300</v>
          </cell>
          <cell r="AU33">
            <v>199</v>
          </cell>
          <cell r="AV33">
            <v>212</v>
          </cell>
          <cell r="AW33">
            <v>627</v>
          </cell>
          <cell r="AX33">
            <v>517</v>
          </cell>
        </row>
        <row r="34">
          <cell r="X34" t="str">
            <v>Tewkesbury Area 2</v>
          </cell>
          <cell r="Y34">
            <v>4457</v>
          </cell>
          <cell r="Z34">
            <v>4006</v>
          </cell>
          <cell r="AA34">
            <v>4006</v>
          </cell>
          <cell r="AB34">
            <v>6258</v>
          </cell>
          <cell r="AC34">
            <v>6536</v>
          </cell>
          <cell r="AD34">
            <v>4449</v>
          </cell>
          <cell r="AE34">
            <v>4057</v>
          </cell>
          <cell r="AF34">
            <v>4057</v>
          </cell>
          <cell r="AG34">
            <v>6131</v>
          </cell>
          <cell r="AH34">
            <v>6392</v>
          </cell>
          <cell r="AI34">
            <v>569</v>
          </cell>
          <cell r="AJ34">
            <v>279</v>
          </cell>
          <cell r="AK34">
            <v>876</v>
          </cell>
          <cell r="AL34">
            <v>1020</v>
          </cell>
          <cell r="AM34">
            <v>1746</v>
          </cell>
          <cell r="AN34">
            <v>702</v>
          </cell>
          <cell r="AO34">
            <v>508</v>
          </cell>
          <cell r="AP34">
            <v>304</v>
          </cell>
          <cell r="AQ34">
            <v>781</v>
          </cell>
          <cell r="AR34">
            <v>900</v>
          </cell>
          <cell r="AS34">
            <v>1623</v>
          </cell>
          <cell r="AT34">
            <v>668</v>
          </cell>
          <cell r="AU34">
            <v>576</v>
          </cell>
          <cell r="AV34">
            <v>579</v>
          </cell>
          <cell r="AW34">
            <v>1712</v>
          </cell>
          <cell r="AX34">
            <v>1449</v>
          </cell>
        </row>
        <row r="35">
          <cell r="X35" t="str">
            <v>Tewkesbury Area 3</v>
          </cell>
          <cell r="Y35">
            <v>2646</v>
          </cell>
          <cell r="Z35">
            <v>2412</v>
          </cell>
          <cell r="AA35">
            <v>2412</v>
          </cell>
          <cell r="AB35">
            <v>3754</v>
          </cell>
          <cell r="AC35">
            <v>3927</v>
          </cell>
          <cell r="AD35">
            <v>2902</v>
          </cell>
          <cell r="AE35">
            <v>2602</v>
          </cell>
          <cell r="AF35">
            <v>2602</v>
          </cell>
          <cell r="AG35">
            <v>3996</v>
          </cell>
          <cell r="AH35">
            <v>4206</v>
          </cell>
          <cell r="AI35">
            <v>388</v>
          </cell>
          <cell r="AJ35">
            <v>203</v>
          </cell>
          <cell r="AK35">
            <v>531</v>
          </cell>
          <cell r="AL35">
            <v>622</v>
          </cell>
          <cell r="AM35">
            <v>1147</v>
          </cell>
          <cell r="AN35">
            <v>493</v>
          </cell>
          <cell r="AO35">
            <v>362</v>
          </cell>
          <cell r="AP35">
            <v>182</v>
          </cell>
          <cell r="AQ35">
            <v>584</v>
          </cell>
          <cell r="AR35">
            <v>662</v>
          </cell>
          <cell r="AS35">
            <v>1112</v>
          </cell>
          <cell r="AT35">
            <v>455</v>
          </cell>
          <cell r="AU35">
            <v>387</v>
          </cell>
          <cell r="AV35">
            <v>414</v>
          </cell>
          <cell r="AW35">
            <v>1144</v>
          </cell>
          <cell r="AX35">
            <v>975</v>
          </cell>
        </row>
        <row r="36">
          <cell r="X36" t="str">
            <v>Tewkesbury Area 4</v>
          </cell>
          <cell r="Y36">
            <v>1176</v>
          </cell>
          <cell r="Z36">
            <v>1025</v>
          </cell>
          <cell r="AA36">
            <v>1025</v>
          </cell>
          <cell r="AB36">
            <v>1702</v>
          </cell>
          <cell r="AC36">
            <v>1806</v>
          </cell>
          <cell r="AD36">
            <v>1110</v>
          </cell>
          <cell r="AE36">
            <v>981</v>
          </cell>
          <cell r="AF36">
            <v>981</v>
          </cell>
          <cell r="AG36">
            <v>1719</v>
          </cell>
          <cell r="AH36">
            <v>1804</v>
          </cell>
          <cell r="AI36">
            <v>186</v>
          </cell>
          <cell r="AJ36">
            <v>105</v>
          </cell>
          <cell r="AK36">
            <v>297</v>
          </cell>
          <cell r="AL36">
            <v>337</v>
          </cell>
          <cell r="AM36">
            <v>590</v>
          </cell>
          <cell r="AN36">
            <v>238</v>
          </cell>
          <cell r="AO36">
            <v>159</v>
          </cell>
          <cell r="AP36">
            <v>93</v>
          </cell>
          <cell r="AQ36">
            <v>248</v>
          </cell>
          <cell r="AR36">
            <v>288</v>
          </cell>
          <cell r="AS36">
            <v>528</v>
          </cell>
          <cell r="AT36">
            <v>202</v>
          </cell>
          <cell r="AU36">
            <v>190</v>
          </cell>
          <cell r="AV36">
            <v>197</v>
          </cell>
          <cell r="AW36">
            <v>573</v>
          </cell>
          <cell r="AX36">
            <v>493</v>
          </cell>
        </row>
        <row r="37">
          <cell r="X37" t="str">
            <v>Tewkesbury Area 5</v>
          </cell>
          <cell r="Y37">
            <v>4211</v>
          </cell>
          <cell r="Z37">
            <v>3796</v>
          </cell>
          <cell r="AA37">
            <v>3796</v>
          </cell>
          <cell r="AB37">
            <v>5593</v>
          </cell>
          <cell r="AC37">
            <v>5863</v>
          </cell>
          <cell r="AD37">
            <v>4232</v>
          </cell>
          <cell r="AE37">
            <v>3882</v>
          </cell>
          <cell r="AF37">
            <v>3882</v>
          </cell>
          <cell r="AG37">
            <v>5662</v>
          </cell>
          <cell r="AH37">
            <v>5917</v>
          </cell>
          <cell r="AI37">
            <v>516</v>
          </cell>
          <cell r="AJ37">
            <v>247</v>
          </cell>
          <cell r="AK37">
            <v>808</v>
          </cell>
          <cell r="AL37">
            <v>931</v>
          </cell>
          <cell r="AM37">
            <v>1582</v>
          </cell>
          <cell r="AN37">
            <v>625</v>
          </cell>
          <cell r="AO37">
            <v>456</v>
          </cell>
          <cell r="AP37">
            <v>230</v>
          </cell>
          <cell r="AQ37">
            <v>696</v>
          </cell>
          <cell r="AR37">
            <v>806</v>
          </cell>
          <cell r="AS37">
            <v>1445</v>
          </cell>
          <cell r="AT37">
            <v>578</v>
          </cell>
          <cell r="AU37">
            <v>518</v>
          </cell>
          <cell r="AV37">
            <v>593</v>
          </cell>
          <cell r="AW37">
            <v>1523</v>
          </cell>
          <cell r="AX37">
            <v>1290</v>
          </cell>
        </row>
        <row r="38">
          <cell r="X38" t="str">
            <v>Ignore this row</v>
          </cell>
        </row>
        <row r="39">
          <cell r="X39" t="str">
            <v>Ignore this row</v>
          </cell>
        </row>
        <row r="40">
          <cell r="X40" t="str">
            <v>Ignore this row</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ver"/>
      <sheetName val="Start"/>
      <sheetName val="DropDowns"/>
      <sheetName val="Step 4 (Sites)"/>
      <sheetName val="Step 4 (lapsed Sites)"/>
      <sheetName val="Step 4&amp;6 (Pitches)"/>
      <sheetName val="Step 5 (Clubs)"/>
      <sheetName val="Step 5 (Teams)"/>
      <sheetName val="Step 5 (Displaced)"/>
      <sheetName val="Step 5 (Education Demand)"/>
      <sheetName val="Step 5 (Education Supply)"/>
      <sheetName val="Step 5 (TGR's)"/>
      <sheetName val="Step 7 (Current Picture)"/>
      <sheetName val="Step 8 (Scenarios)"/>
    </sheetNames>
    <sheetDataSet>
      <sheetData sheetId="0" refreshError="1"/>
      <sheetData sheetId="1" refreshError="1"/>
      <sheetData sheetId="2">
        <row r="30">
          <cell r="A30" t="str">
            <v>ALL ANALYSIS AREAS</v>
          </cell>
          <cell r="B30">
            <v>110203</v>
          </cell>
          <cell r="C30">
            <v>101536</v>
          </cell>
          <cell r="D30">
            <v>104708</v>
          </cell>
          <cell r="E30">
            <v>134216</v>
          </cell>
          <cell r="F30">
            <v>106488</v>
          </cell>
          <cell r="G30">
            <v>97865</v>
          </cell>
          <cell r="H30">
            <v>101166</v>
          </cell>
          <cell r="I30">
            <v>132372</v>
          </cell>
          <cell r="J30">
            <v>14877</v>
          </cell>
          <cell r="K30">
            <v>16502</v>
          </cell>
          <cell r="L30">
            <v>13330</v>
          </cell>
          <cell r="M30">
            <v>26990</v>
          </cell>
          <cell r="N30">
            <v>12591</v>
          </cell>
          <cell r="O30">
            <v>14464</v>
          </cell>
          <cell r="P30">
            <v>16170</v>
          </cell>
          <cell r="Q30">
            <v>12869</v>
          </cell>
          <cell r="R30">
            <v>26304</v>
          </cell>
          <cell r="S30">
            <v>12276</v>
          </cell>
          <cell r="T30">
            <v>17621</v>
          </cell>
          <cell r="U30">
            <v>27095</v>
          </cell>
          <cell r="V30">
            <v>22692</v>
          </cell>
        </row>
        <row r="31">
          <cell r="A31" t="str">
            <v>Liverpool North</v>
          </cell>
        </row>
        <row r="32">
          <cell r="A32" t="str">
            <v>Liverpool City Centre</v>
          </cell>
        </row>
        <row r="33">
          <cell r="A33" t="str">
            <v>Liverpool South</v>
          </cell>
        </row>
        <row r="34">
          <cell r="A34" t="str">
            <v>Ignore this row</v>
          </cell>
        </row>
        <row r="35">
          <cell r="A35" t="str">
            <v>Ignore this row</v>
          </cell>
        </row>
        <row r="36">
          <cell r="A36" t="str">
            <v>Ignore this row</v>
          </cell>
        </row>
        <row r="37">
          <cell r="A37" t="str">
            <v>Ignore this row</v>
          </cell>
        </row>
        <row r="38">
          <cell r="A38" t="str">
            <v>Ignore this row</v>
          </cell>
        </row>
        <row r="39">
          <cell r="A39" t="str">
            <v>Ignore this row</v>
          </cell>
        </row>
        <row r="40">
          <cell r="A40" t="str">
            <v>Ignore this row</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portengland.org/facilities-planning/tools-guidance/design-and-cost-guidance/cost-guidance/" TargetMode="External"/><Relationship Id="rId1" Type="http://schemas.openxmlformats.org/officeDocument/2006/relationships/hyperlink" Target="http://planningguidance.communities.gov.uk/blog/guidance/community-infrastructure-levy/other-developer-contribu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portengland.org/facilities-planning/tools-guidance/design-and-cost-guidance/cost-guidance/" TargetMode="External"/><Relationship Id="rId1" Type="http://schemas.openxmlformats.org/officeDocument/2006/relationships/hyperlink" Target="https://www.sportengland.org/facilities-planning/tools-guidance/design-and-cost-guidance/cost-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1:B5"/>
  <sheetViews>
    <sheetView view="pageBreakPreview" zoomScaleNormal="100" zoomScaleSheetLayoutView="100" workbookViewId="0">
      <selection activeCell="F4" sqref="F4"/>
    </sheetView>
  </sheetViews>
  <sheetFormatPr defaultColWidth="9.109375" defaultRowHeight="13.2" x14ac:dyDescent="0.25"/>
  <cols>
    <col min="1" max="1" width="2.5546875" style="1" customWidth="1"/>
    <col min="2" max="2" width="133.88671875" style="1" customWidth="1"/>
    <col min="3" max="3" width="3" style="1" customWidth="1"/>
    <col min="4" max="16384" width="9.109375" style="1"/>
  </cols>
  <sheetData>
    <row r="1" spans="2:2" ht="10.5" customHeight="1" x14ac:dyDescent="0.25"/>
    <row r="2" spans="2:2" ht="21" x14ac:dyDescent="0.25">
      <c r="B2" s="74" t="s">
        <v>494</v>
      </c>
    </row>
    <row r="3" spans="2:2" ht="12" customHeight="1" thickBot="1" x14ac:dyDescent="0.3">
      <c r="B3" s="74"/>
    </row>
    <row r="4" spans="2:2" ht="331.8" thickBot="1" x14ac:dyDescent="0.3">
      <c r="B4" s="91" t="s">
        <v>545</v>
      </c>
    </row>
    <row r="5" spans="2:2" ht="17.25" customHeight="1" x14ac:dyDescent="0.25"/>
  </sheetData>
  <sheetProtection selectLockedCells="1" selectUnlockedCells="1"/>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R272"/>
  <sheetViews>
    <sheetView tabSelected="1" view="pageBreakPreview" zoomScale="90" zoomScaleNormal="100" zoomScaleSheetLayoutView="90" workbookViewId="0">
      <selection activeCell="E7" sqref="E7"/>
    </sheetView>
  </sheetViews>
  <sheetFormatPr defaultColWidth="9.109375" defaultRowHeight="14.4" x14ac:dyDescent="0.25"/>
  <cols>
    <col min="1" max="1" width="2.6640625" style="138" customWidth="1"/>
    <col min="2" max="2" width="60.44140625" style="138" customWidth="1"/>
    <col min="3" max="3" width="21" style="138" customWidth="1"/>
    <col min="4" max="4" width="23.88671875" style="138" customWidth="1"/>
    <col min="5" max="5" width="14.109375" style="138" customWidth="1"/>
    <col min="6" max="6" width="41.6640625" style="138" customWidth="1"/>
    <col min="7" max="7" width="14.109375" style="138" customWidth="1"/>
    <col min="8" max="8" width="1.5546875" style="138" customWidth="1"/>
    <col min="9" max="9" width="5" style="138" customWidth="1"/>
    <col min="10" max="44" width="8.88671875" style="139" customWidth="1"/>
    <col min="45" max="48" width="8.88671875" style="138" customWidth="1"/>
    <col min="49" max="16384" width="9.109375" style="138"/>
  </cols>
  <sheetData>
    <row r="1" spans="2:44" ht="10.5" customHeight="1" x14ac:dyDescent="0.25"/>
    <row r="2" spans="2:44" ht="21" x14ac:dyDescent="0.25">
      <c r="B2" s="215" t="s">
        <v>546</v>
      </c>
      <c r="C2" s="215"/>
      <c r="D2" s="215"/>
      <c r="E2" s="215"/>
      <c r="F2" s="215"/>
    </row>
    <row r="3" spans="2:44" ht="12.75" customHeight="1" thickBot="1" x14ac:dyDescent="0.3"/>
    <row r="4" spans="2:44" s="140" customFormat="1" ht="24.75" customHeight="1" thickBot="1" x14ac:dyDescent="0.3">
      <c r="B4" s="218" t="s">
        <v>547</v>
      </c>
      <c r="C4" s="219"/>
      <c r="D4" s="219"/>
      <c r="E4" s="219"/>
      <c r="F4" s="220"/>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row>
    <row r="5" spans="2:44" ht="15" thickBot="1" x14ac:dyDescent="0.3">
      <c r="B5" s="142" t="s">
        <v>377</v>
      </c>
      <c r="C5" s="143" t="s">
        <v>381</v>
      </c>
      <c r="D5" s="144" t="s">
        <v>91</v>
      </c>
      <c r="E5" s="225" t="s">
        <v>390</v>
      </c>
      <c r="F5" s="226"/>
    </row>
    <row r="6" spans="2:44" ht="15" thickBot="1" x14ac:dyDescent="0.3">
      <c r="B6" s="142" t="s">
        <v>378</v>
      </c>
      <c r="C6" s="143" t="s">
        <v>382</v>
      </c>
      <c r="D6" s="145">
        <v>116781</v>
      </c>
      <c r="E6" s="146"/>
      <c r="F6" s="147"/>
    </row>
    <row r="7" spans="2:44" ht="15" thickBot="1" x14ac:dyDescent="0.3">
      <c r="B7" s="142" t="s">
        <v>379</v>
      </c>
      <c r="C7" s="143" t="s">
        <v>37</v>
      </c>
      <c r="D7" s="145"/>
      <c r="E7" s="146"/>
      <c r="F7" s="147"/>
      <c r="G7" s="148"/>
      <c r="I7" s="149"/>
      <c r="K7" s="150"/>
    </row>
    <row r="8" spans="2:44" ht="15" thickBot="1" x14ac:dyDescent="0.3">
      <c r="B8" s="151" t="s">
        <v>38</v>
      </c>
      <c r="C8" s="152"/>
      <c r="D8" s="153"/>
      <c r="E8" s="154"/>
      <c r="F8" s="155"/>
    </row>
    <row r="9" spans="2:44" ht="14.25" customHeight="1" thickBot="1" x14ac:dyDescent="0.3">
      <c r="B9" s="156"/>
      <c r="D9" s="157"/>
      <c r="E9" s="158"/>
    </row>
    <row r="10" spans="2:44" ht="9" customHeight="1" thickBot="1" x14ac:dyDescent="0.3">
      <c r="B10" s="159"/>
      <c r="C10" s="160"/>
      <c r="D10" s="160"/>
      <c r="E10" s="160"/>
      <c r="F10" s="161"/>
    </row>
    <row r="11" spans="2:44" ht="15.6" thickBot="1" x14ac:dyDescent="0.3">
      <c r="B11" s="230" t="s">
        <v>548</v>
      </c>
      <c r="C11" s="231"/>
      <c r="D11" s="162" t="s">
        <v>493</v>
      </c>
      <c r="E11" s="238" t="s">
        <v>394</v>
      </c>
      <c r="F11" s="226"/>
    </row>
    <row r="12" spans="2:44" ht="9" customHeight="1" thickBot="1" x14ac:dyDescent="0.3">
      <c r="B12" s="163"/>
      <c r="C12" s="164"/>
      <c r="D12" s="165"/>
      <c r="E12" s="164"/>
      <c r="F12" s="166"/>
    </row>
    <row r="13" spans="2:44" ht="15" thickBot="1" x14ac:dyDescent="0.3"/>
    <row r="14" spans="2:44" ht="24.75" customHeight="1" x14ac:dyDescent="0.25">
      <c r="B14" s="228" t="s">
        <v>549</v>
      </c>
      <c r="C14" s="229"/>
      <c r="D14" s="167" t="str">
        <f>D5</f>
        <v>Cheltenham</v>
      </c>
      <c r="E14" s="168">
        <f>D7</f>
        <v>0</v>
      </c>
      <c r="F14" s="169" t="s">
        <v>383</v>
      </c>
      <c r="G14" s="157"/>
    </row>
    <row r="15" spans="2:44" ht="9" customHeight="1" x14ac:dyDescent="0.25">
      <c r="B15" s="170"/>
      <c r="C15" s="171"/>
      <c r="D15" s="171"/>
      <c r="E15" s="171"/>
      <c r="F15" s="172"/>
    </row>
    <row r="16" spans="2:44" x14ac:dyDescent="0.25">
      <c r="B16" s="221" t="s">
        <v>393</v>
      </c>
      <c r="C16" s="227"/>
      <c r="D16" s="173">
        <f>SUM(Workings!N6:N7)</f>
        <v>0</v>
      </c>
      <c r="E16" s="223" t="s">
        <v>404</v>
      </c>
      <c r="F16" s="224"/>
    </row>
    <row r="17" spans="2:44" x14ac:dyDescent="0.25">
      <c r="B17" s="221" t="s">
        <v>384</v>
      </c>
      <c r="C17" s="222"/>
      <c r="D17" s="173">
        <f>SUM(Workings!N8:N11)</f>
        <v>0</v>
      </c>
      <c r="E17" s="223" t="s">
        <v>404</v>
      </c>
      <c r="F17" s="224"/>
    </row>
    <row r="18" spans="2:44" x14ac:dyDescent="0.25">
      <c r="B18" s="221" t="s">
        <v>385</v>
      </c>
      <c r="C18" s="222"/>
      <c r="D18" s="173">
        <f>SUM(Workings!N12:N13)</f>
        <v>0</v>
      </c>
      <c r="E18" s="223" t="s">
        <v>404</v>
      </c>
      <c r="F18" s="224"/>
    </row>
    <row r="19" spans="2:44" ht="9" customHeight="1" x14ac:dyDescent="0.25">
      <c r="B19" s="174"/>
      <c r="C19" s="175"/>
      <c r="D19" s="176"/>
      <c r="E19" s="171"/>
      <c r="F19" s="172"/>
    </row>
    <row r="20" spans="2:44" x14ac:dyDescent="0.25">
      <c r="B20" s="221" t="s">
        <v>388</v>
      </c>
      <c r="C20" s="222"/>
      <c r="D20" s="173">
        <f>SUM(Workings!N18:N22)</f>
        <v>0</v>
      </c>
      <c r="E20" s="223" t="s">
        <v>404</v>
      </c>
      <c r="F20" s="224"/>
    </row>
    <row r="21" spans="2:44" x14ac:dyDescent="0.25">
      <c r="B21" s="221" t="s">
        <v>389</v>
      </c>
      <c r="C21" s="222"/>
      <c r="D21" s="173">
        <f>SUM(Workings!N23:N27)</f>
        <v>0</v>
      </c>
      <c r="E21" s="223" t="s">
        <v>404</v>
      </c>
      <c r="F21" s="224"/>
    </row>
    <row r="22" spans="2:44" ht="9" customHeight="1" x14ac:dyDescent="0.25">
      <c r="B22" s="174"/>
      <c r="C22" s="175"/>
      <c r="D22" s="176"/>
      <c r="E22" s="171"/>
      <c r="F22" s="172"/>
    </row>
    <row r="23" spans="2:44" x14ac:dyDescent="0.25">
      <c r="B23" s="221" t="s">
        <v>392</v>
      </c>
      <c r="C23" s="222"/>
      <c r="D23" s="173">
        <f>SUM(Workings!N28:N31)</f>
        <v>0</v>
      </c>
      <c r="E23" s="223" t="s">
        <v>404</v>
      </c>
      <c r="F23" s="224"/>
    </row>
    <row r="24" spans="2:44" ht="9" customHeight="1" x14ac:dyDescent="0.25">
      <c r="B24" s="174"/>
      <c r="C24" s="175"/>
      <c r="D24" s="176"/>
      <c r="E24" s="171"/>
      <c r="F24" s="172"/>
    </row>
    <row r="25" spans="2:44" x14ac:dyDescent="0.25">
      <c r="B25" s="221" t="s">
        <v>386</v>
      </c>
      <c r="C25" s="222"/>
      <c r="D25" s="173">
        <f>SUM(Workings!N14:N17)</f>
        <v>0</v>
      </c>
      <c r="E25" s="223" t="s">
        <v>387</v>
      </c>
      <c r="F25" s="224"/>
    </row>
    <row r="26" spans="2:44" ht="9" customHeight="1" thickBot="1" x14ac:dyDescent="0.3">
      <c r="B26" s="177"/>
      <c r="C26" s="178"/>
      <c r="D26" s="179"/>
      <c r="E26" s="180"/>
      <c r="F26" s="181"/>
    </row>
    <row r="27" spans="2:44" ht="15" thickBot="1" x14ac:dyDescent="0.3">
      <c r="B27" s="182"/>
      <c r="C27" s="182"/>
      <c r="D27" s="157"/>
    </row>
    <row r="28" spans="2:44" s="140" customFormat="1" ht="24.75" customHeight="1" x14ac:dyDescent="0.25">
      <c r="B28" s="239" t="s">
        <v>550</v>
      </c>
      <c r="C28" s="240"/>
      <c r="D28" s="240"/>
      <c r="E28" s="240"/>
      <c r="F28" s="2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row>
    <row r="29" spans="2:44" ht="183.75" customHeight="1" x14ac:dyDescent="0.25">
      <c r="B29" s="235" t="s">
        <v>500</v>
      </c>
      <c r="C29" s="236"/>
      <c r="D29" s="236"/>
      <c r="E29" s="236"/>
      <c r="F29" s="237"/>
    </row>
    <row r="30" spans="2:44" ht="41.25" customHeight="1" thickBot="1" x14ac:dyDescent="0.3">
      <c r="B30" s="242" t="s">
        <v>551</v>
      </c>
      <c r="C30" s="243"/>
      <c r="D30" s="243"/>
      <c r="E30" s="243"/>
      <c r="F30" s="244"/>
    </row>
    <row r="31" spans="2:44" ht="18" customHeight="1" thickBot="1" x14ac:dyDescent="0.3">
      <c r="B31" s="183"/>
      <c r="C31" s="183"/>
      <c r="D31" s="183"/>
      <c r="E31" s="183"/>
      <c r="F31" s="183"/>
    </row>
    <row r="32" spans="2:44" s="140" customFormat="1" ht="28.5" customHeight="1" x14ac:dyDescent="0.25">
      <c r="B32" s="245" t="s">
        <v>552</v>
      </c>
      <c r="C32" s="246"/>
      <c r="D32" s="246"/>
      <c r="E32" s="246"/>
      <c r="F32" s="246"/>
      <c r="G32" s="246"/>
      <c r="H32" s="247"/>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row>
    <row r="33" spans="2:8" ht="15.75" customHeight="1" x14ac:dyDescent="0.25">
      <c r="B33" s="184" t="s">
        <v>396</v>
      </c>
      <c r="C33" s="173">
        <f>Workings!P32</f>
        <v>0</v>
      </c>
      <c r="D33" s="185" t="s">
        <v>395</v>
      </c>
      <c r="E33" s="186">
        <f>VLOOKUP(D5,Workings!C38:F374,4,FALSE)*Workings!T32</f>
        <v>0</v>
      </c>
      <c r="F33" s="185" t="s">
        <v>397</v>
      </c>
      <c r="G33" s="186">
        <f>Workings!X32</f>
        <v>0</v>
      </c>
      <c r="H33" s="187"/>
    </row>
    <row r="34" spans="2:8" ht="29.25" customHeight="1" x14ac:dyDescent="0.25">
      <c r="B34" s="248" t="s">
        <v>413</v>
      </c>
      <c r="C34" s="249"/>
      <c r="D34" s="249"/>
      <c r="E34" s="249"/>
      <c r="F34" s="249"/>
      <c r="G34" s="249"/>
      <c r="H34" s="187"/>
    </row>
    <row r="35" spans="2:8" ht="15.75" customHeight="1" x14ac:dyDescent="0.25">
      <c r="B35" s="184" t="s">
        <v>399</v>
      </c>
      <c r="C35" s="188">
        <f>SUM(Workings!P6:P7)</f>
        <v>0</v>
      </c>
      <c r="D35" s="185" t="s">
        <v>395</v>
      </c>
      <c r="E35" s="189">
        <f>VLOOKUP(D5,Workings!C38:F374,4,FALSE)*Workings!T6</f>
        <v>0</v>
      </c>
      <c r="F35" s="185" t="s">
        <v>397</v>
      </c>
      <c r="G35" s="189">
        <f>SUM(Workings!X6)</f>
        <v>0</v>
      </c>
      <c r="H35" s="187"/>
    </row>
    <row r="36" spans="2:8" ht="15.75" customHeight="1" x14ac:dyDescent="0.25">
      <c r="B36" s="184" t="s">
        <v>400</v>
      </c>
      <c r="C36" s="188">
        <f>SUM(Workings!P8:P11)</f>
        <v>0</v>
      </c>
      <c r="D36" s="185" t="s">
        <v>395</v>
      </c>
      <c r="E36" s="189">
        <f>VLOOKUP(D5,Workings!C38:F374,4,FALSE)*Workings!T8</f>
        <v>0</v>
      </c>
      <c r="F36" s="185" t="s">
        <v>397</v>
      </c>
      <c r="G36" s="189">
        <f>SUM(Workings!X8)</f>
        <v>0</v>
      </c>
      <c r="H36" s="187"/>
    </row>
    <row r="37" spans="2:8" ht="15.75" customHeight="1" x14ac:dyDescent="0.25">
      <c r="B37" s="184" t="s">
        <v>401</v>
      </c>
      <c r="C37" s="188">
        <f>SUM(Workings!P12:P13)</f>
        <v>0</v>
      </c>
      <c r="D37" s="185" t="s">
        <v>395</v>
      </c>
      <c r="E37" s="189">
        <f>VLOOKUP(D5,Workings!C38:F374,4,FALSE)*Workings!T12</f>
        <v>0</v>
      </c>
      <c r="F37" s="185" t="s">
        <v>397</v>
      </c>
      <c r="G37" s="189">
        <f>SUM(Workings!X12)</f>
        <v>0</v>
      </c>
      <c r="H37" s="187"/>
    </row>
    <row r="38" spans="2:8" ht="8.25" customHeight="1" x14ac:dyDescent="0.25">
      <c r="B38" s="184"/>
      <c r="C38" s="190"/>
      <c r="D38" s="185"/>
      <c r="E38" s="191"/>
      <c r="F38" s="185"/>
      <c r="G38" s="191"/>
      <c r="H38" s="187"/>
    </row>
    <row r="39" spans="2:8" ht="15.75" customHeight="1" x14ac:dyDescent="0.25">
      <c r="B39" s="184" t="s">
        <v>402</v>
      </c>
      <c r="C39" s="188">
        <f>SUM(Workings!P18:P22)</f>
        <v>0</v>
      </c>
      <c r="D39" s="185" t="s">
        <v>395</v>
      </c>
      <c r="E39" s="189">
        <f>VLOOKUP(D5,Workings!C38:F374,4,FALSE)*Workings!T18</f>
        <v>0</v>
      </c>
      <c r="F39" s="185" t="s">
        <v>397</v>
      </c>
      <c r="G39" s="189">
        <f>SUM(Workings!X18)</f>
        <v>0</v>
      </c>
      <c r="H39" s="187"/>
    </row>
    <row r="40" spans="2:8" ht="15.75" customHeight="1" x14ac:dyDescent="0.25">
      <c r="B40" s="184" t="s">
        <v>403</v>
      </c>
      <c r="C40" s="188">
        <f>SUM(Workings!P23:P27)</f>
        <v>0</v>
      </c>
      <c r="D40" s="185" t="s">
        <v>395</v>
      </c>
      <c r="E40" s="189">
        <f>VLOOKUP(D5,Workings!C38:F374,4,FALSE)*Workings!T23</f>
        <v>0</v>
      </c>
      <c r="F40" s="185" t="s">
        <v>397</v>
      </c>
      <c r="G40" s="189">
        <f>SUM(Workings!X23)</f>
        <v>0</v>
      </c>
      <c r="H40" s="187"/>
    </row>
    <row r="41" spans="2:8" ht="8.25" customHeight="1" x14ac:dyDescent="0.25">
      <c r="B41" s="184"/>
      <c r="C41" s="190"/>
      <c r="D41" s="185"/>
      <c r="E41" s="191"/>
      <c r="F41" s="185"/>
      <c r="G41" s="191"/>
      <c r="H41" s="187"/>
    </row>
    <row r="42" spans="2:8" ht="15.75" customHeight="1" x14ac:dyDescent="0.25">
      <c r="B42" s="184" t="s">
        <v>391</v>
      </c>
      <c r="C42" s="188">
        <f>SUM(Workings!P28:P31)/4</f>
        <v>0</v>
      </c>
      <c r="D42" s="185" t="s">
        <v>395</v>
      </c>
      <c r="E42" s="189">
        <f>VLOOKUP(D5,Workings!C38:F374,4,FALSE)*Workings!T28</f>
        <v>0</v>
      </c>
      <c r="F42" s="185" t="s">
        <v>397</v>
      </c>
      <c r="G42" s="189">
        <f>SUM(Workings!X28)</f>
        <v>0</v>
      </c>
      <c r="H42" s="187"/>
    </row>
    <row r="43" spans="2:8" ht="8.25" customHeight="1" x14ac:dyDescent="0.25">
      <c r="B43" s="184"/>
      <c r="C43" s="190"/>
      <c r="D43" s="185"/>
      <c r="E43" s="191"/>
      <c r="F43" s="185"/>
      <c r="G43" s="191"/>
      <c r="H43" s="187"/>
    </row>
    <row r="44" spans="2:8" ht="15.75" customHeight="1" x14ac:dyDescent="0.25">
      <c r="B44" s="184" t="s">
        <v>386</v>
      </c>
      <c r="C44" s="188">
        <f>SUM(Workings!P14:P17)</f>
        <v>0</v>
      </c>
      <c r="D44" s="185" t="s">
        <v>395</v>
      </c>
      <c r="E44" s="189">
        <f>VLOOKUP(D5,Workings!C38:F374,4,FALSE)*Workings!T14</f>
        <v>0</v>
      </c>
      <c r="F44" s="185" t="s">
        <v>397</v>
      </c>
      <c r="G44" s="189">
        <f>SUM(Workings!X14)</f>
        <v>0</v>
      </c>
      <c r="H44" s="187"/>
    </row>
    <row r="45" spans="2:8" ht="10.5" customHeight="1" x14ac:dyDescent="0.25">
      <c r="B45" s="192"/>
      <c r="C45" s="190"/>
      <c r="D45" s="190"/>
      <c r="E45" s="190"/>
      <c r="F45" s="190"/>
      <c r="G45" s="190"/>
      <c r="H45" s="187"/>
    </row>
    <row r="46" spans="2:8" ht="41.25" customHeight="1" thickBot="1" x14ac:dyDescent="0.3">
      <c r="B46" s="216" t="s">
        <v>495</v>
      </c>
      <c r="C46" s="217"/>
      <c r="D46" s="217"/>
      <c r="E46" s="217"/>
      <c r="F46" s="217"/>
      <c r="G46" s="217"/>
      <c r="H46" s="193"/>
    </row>
    <row r="47" spans="2:8" ht="11.25" hidden="1" customHeight="1" x14ac:dyDescent="0.25">
      <c r="B47" s="194"/>
      <c r="H47" s="195"/>
    </row>
    <row r="48" spans="2:8" ht="26.25" hidden="1" customHeight="1" x14ac:dyDescent="0.25">
      <c r="B48" s="232" t="s">
        <v>553</v>
      </c>
      <c r="C48" s="233"/>
      <c r="D48" s="233"/>
      <c r="E48" s="233"/>
      <c r="F48" s="233"/>
      <c r="G48" s="233"/>
      <c r="H48" s="234"/>
    </row>
    <row r="49" spans="2:8" ht="9.75" hidden="1" customHeight="1" x14ac:dyDescent="0.25">
      <c r="B49" s="196"/>
      <c r="C49" s="197"/>
      <c r="D49" s="197"/>
      <c r="E49" s="197"/>
      <c r="F49" s="197"/>
      <c r="G49" s="197"/>
      <c r="H49" s="198"/>
    </row>
    <row r="50" spans="2:8" ht="33.75" hidden="1" customHeight="1" x14ac:dyDescent="0.25">
      <c r="B50" s="199" t="s">
        <v>396</v>
      </c>
      <c r="C50" s="200" t="e">
        <f>Workings!Q32</f>
        <v>#REF!</v>
      </c>
      <c r="D50" s="201" t="s">
        <v>395</v>
      </c>
      <c r="E50" s="202" t="e">
        <f>Workings!AA32</f>
        <v>#REF!</v>
      </c>
      <c r="F50" s="201" t="s">
        <v>397</v>
      </c>
      <c r="G50" s="203" t="e">
        <f>Workings!AE32</f>
        <v>#REF!</v>
      </c>
      <c r="H50" s="198"/>
    </row>
    <row r="51" spans="2:8" ht="42" hidden="1" customHeight="1" x14ac:dyDescent="0.25">
      <c r="B51" s="232" t="s">
        <v>398</v>
      </c>
      <c r="C51" s="233"/>
      <c r="D51" s="233"/>
      <c r="E51" s="233"/>
      <c r="F51" s="233"/>
      <c r="G51" s="233"/>
      <c r="H51" s="198"/>
    </row>
    <row r="52" spans="2:8" hidden="1" x14ac:dyDescent="0.25">
      <c r="B52" s="199" t="s">
        <v>399</v>
      </c>
      <c r="C52" s="200">
        <f>Workings!Q6</f>
        <v>0</v>
      </c>
      <c r="D52" s="201" t="s">
        <v>395</v>
      </c>
      <c r="E52" s="204">
        <f>Workings!AA6</f>
        <v>0</v>
      </c>
      <c r="F52" s="201" t="s">
        <v>397</v>
      </c>
      <c r="G52" s="205">
        <f>Workings!AE6</f>
        <v>0</v>
      </c>
      <c r="H52" s="198"/>
    </row>
    <row r="53" spans="2:8" hidden="1" x14ac:dyDescent="0.25">
      <c r="B53" s="199" t="s">
        <v>400</v>
      </c>
      <c r="C53" s="206">
        <f>Workings!Q8</f>
        <v>0</v>
      </c>
      <c r="D53" s="201" t="s">
        <v>395</v>
      </c>
      <c r="E53" s="207">
        <f>Workings!AA8</f>
        <v>0</v>
      </c>
      <c r="F53" s="201" t="s">
        <v>397</v>
      </c>
      <c r="G53" s="208">
        <f>Workings!AE8</f>
        <v>0</v>
      </c>
      <c r="H53" s="198"/>
    </row>
    <row r="54" spans="2:8" hidden="1" x14ac:dyDescent="0.25">
      <c r="B54" s="199" t="s">
        <v>401</v>
      </c>
      <c r="C54" s="200">
        <f>Workings!Q12</f>
        <v>0</v>
      </c>
      <c r="D54" s="201" t="s">
        <v>395</v>
      </c>
      <c r="E54" s="204">
        <f>Workings!AA12</f>
        <v>0</v>
      </c>
      <c r="F54" s="201" t="s">
        <v>397</v>
      </c>
      <c r="G54" s="205">
        <f>Workings!AE12</f>
        <v>0</v>
      </c>
      <c r="H54" s="198"/>
    </row>
    <row r="55" spans="2:8" hidden="1" x14ac:dyDescent="0.25">
      <c r="B55" s="199"/>
      <c r="C55" s="209"/>
      <c r="D55" s="201"/>
      <c r="E55" s="210"/>
      <c r="F55" s="201"/>
      <c r="G55" s="210"/>
      <c r="H55" s="198"/>
    </row>
    <row r="56" spans="2:8" hidden="1" x14ac:dyDescent="0.25">
      <c r="B56" s="199" t="s">
        <v>402</v>
      </c>
      <c r="C56" s="200">
        <f>Workings!Q18</f>
        <v>0</v>
      </c>
      <c r="D56" s="201" t="s">
        <v>395</v>
      </c>
      <c r="E56" s="204">
        <f>Workings!AA18</f>
        <v>0</v>
      </c>
      <c r="F56" s="201" t="s">
        <v>397</v>
      </c>
      <c r="G56" s="205">
        <f>Workings!AE18</f>
        <v>0</v>
      </c>
      <c r="H56" s="198"/>
    </row>
    <row r="57" spans="2:8" hidden="1" x14ac:dyDescent="0.25">
      <c r="B57" s="199" t="s">
        <v>403</v>
      </c>
      <c r="C57" s="200">
        <f>Workings!Q23</f>
        <v>0</v>
      </c>
      <c r="D57" s="201" t="s">
        <v>395</v>
      </c>
      <c r="E57" s="204">
        <f>Workings!AA23</f>
        <v>0</v>
      </c>
      <c r="F57" s="201" t="s">
        <v>397</v>
      </c>
      <c r="G57" s="205">
        <f>Workings!AE23</f>
        <v>0</v>
      </c>
      <c r="H57" s="198"/>
    </row>
    <row r="58" spans="2:8" hidden="1" x14ac:dyDescent="0.25">
      <c r="B58" s="199"/>
      <c r="C58" s="209"/>
      <c r="D58" s="201"/>
      <c r="E58" s="211"/>
      <c r="F58" s="201"/>
      <c r="G58" s="211"/>
      <c r="H58" s="198"/>
    </row>
    <row r="59" spans="2:8" hidden="1" x14ac:dyDescent="0.25">
      <c r="B59" s="199" t="s">
        <v>391</v>
      </c>
      <c r="C59" s="200" t="e">
        <f>Workings!Q28</f>
        <v>#REF!</v>
      </c>
      <c r="D59" s="201" t="s">
        <v>395</v>
      </c>
      <c r="E59" s="204" t="e">
        <f>Workings!AA28</f>
        <v>#REF!</v>
      </c>
      <c r="F59" s="201" t="s">
        <v>397</v>
      </c>
      <c r="G59" s="205" t="e">
        <f>Workings!AE28</f>
        <v>#REF!</v>
      </c>
      <c r="H59" s="198"/>
    </row>
    <row r="60" spans="2:8" hidden="1" x14ac:dyDescent="0.25">
      <c r="B60" s="199"/>
      <c r="C60" s="209"/>
      <c r="D60" s="201"/>
      <c r="E60" s="211"/>
      <c r="F60" s="201"/>
      <c r="G60" s="211"/>
      <c r="H60" s="198"/>
    </row>
    <row r="61" spans="2:8" hidden="1" x14ac:dyDescent="0.25">
      <c r="B61" s="199" t="s">
        <v>386</v>
      </c>
      <c r="C61" s="200">
        <f>Workings!Q14</f>
        <v>0</v>
      </c>
      <c r="D61" s="201" t="s">
        <v>395</v>
      </c>
      <c r="E61" s="204">
        <f>Workings!AA14</f>
        <v>0</v>
      </c>
      <c r="F61" s="201" t="s">
        <v>397</v>
      </c>
      <c r="G61" s="205">
        <f>Workings!AE14</f>
        <v>0</v>
      </c>
      <c r="H61" s="198"/>
    </row>
    <row r="62" spans="2:8" ht="15" hidden="1" thickBot="1" x14ac:dyDescent="0.3">
      <c r="B62" s="212"/>
      <c r="C62" s="213"/>
      <c r="D62" s="213"/>
      <c r="E62" s="213"/>
      <c r="F62" s="213"/>
      <c r="G62" s="213"/>
      <c r="H62" s="214"/>
    </row>
    <row r="65" s="139" customFormat="1" x14ac:dyDescent="0.25"/>
    <row r="66" s="139" customFormat="1" x14ac:dyDescent="0.25"/>
    <row r="67" s="139" customFormat="1" x14ac:dyDescent="0.25"/>
    <row r="68" s="139" customFormat="1" x14ac:dyDescent="0.25"/>
    <row r="69" s="139" customFormat="1" x14ac:dyDescent="0.25"/>
    <row r="70" s="139" customFormat="1" x14ac:dyDescent="0.25"/>
    <row r="71" s="139" customFormat="1" x14ac:dyDescent="0.25"/>
    <row r="72" s="139" customFormat="1" x14ac:dyDescent="0.25"/>
    <row r="73" s="139" customFormat="1" x14ac:dyDescent="0.25"/>
    <row r="74" s="139" customFormat="1" x14ac:dyDescent="0.25"/>
    <row r="75" s="139" customFormat="1" x14ac:dyDescent="0.25"/>
    <row r="76" s="139" customFormat="1" x14ac:dyDescent="0.25"/>
    <row r="77" s="139" customFormat="1" x14ac:dyDescent="0.25"/>
    <row r="78" s="139" customFormat="1" x14ac:dyDescent="0.25"/>
    <row r="79" s="139" customFormat="1" x14ac:dyDescent="0.25"/>
    <row r="80" s="139" customFormat="1" x14ac:dyDescent="0.25"/>
    <row r="81" s="139" customFormat="1" x14ac:dyDescent="0.25"/>
    <row r="82" s="139" customFormat="1" x14ac:dyDescent="0.25"/>
    <row r="83" s="139" customFormat="1" x14ac:dyDescent="0.25"/>
    <row r="84" s="139" customFormat="1" x14ac:dyDescent="0.25"/>
    <row r="85" s="139" customFormat="1" x14ac:dyDescent="0.25"/>
    <row r="86" s="139" customFormat="1" x14ac:dyDescent="0.25"/>
    <row r="87" s="139" customFormat="1" x14ac:dyDescent="0.25"/>
    <row r="88" s="139" customFormat="1" x14ac:dyDescent="0.25"/>
    <row r="89" s="139" customFormat="1" x14ac:dyDescent="0.25"/>
    <row r="90" s="139" customFormat="1" x14ac:dyDescent="0.25"/>
    <row r="91" s="139" customFormat="1" x14ac:dyDescent="0.25"/>
    <row r="92" s="139" customFormat="1" x14ac:dyDescent="0.25"/>
    <row r="93" s="139" customFormat="1" x14ac:dyDescent="0.25"/>
    <row r="94" s="139" customFormat="1" x14ac:dyDescent="0.25"/>
    <row r="95" s="139" customFormat="1" x14ac:dyDescent="0.25"/>
    <row r="96" s="139" customFormat="1" x14ac:dyDescent="0.25"/>
    <row r="97" s="139" customFormat="1" x14ac:dyDescent="0.25"/>
    <row r="98" s="139" customFormat="1" x14ac:dyDescent="0.25"/>
    <row r="99" s="139" customFormat="1" x14ac:dyDescent="0.25"/>
    <row r="100" s="139" customFormat="1" x14ac:dyDescent="0.25"/>
    <row r="101" s="139" customFormat="1" x14ac:dyDescent="0.25"/>
    <row r="102" s="139" customFormat="1" x14ac:dyDescent="0.25"/>
    <row r="103" s="139" customFormat="1" x14ac:dyDescent="0.25"/>
    <row r="104" s="139" customFormat="1" x14ac:dyDescent="0.25"/>
    <row r="105" s="139" customFormat="1" x14ac:dyDescent="0.25"/>
    <row r="106" s="139" customFormat="1" x14ac:dyDescent="0.25"/>
    <row r="107" s="139" customFormat="1" x14ac:dyDescent="0.25"/>
    <row r="108" s="139" customFormat="1" x14ac:dyDescent="0.25"/>
    <row r="109" s="139" customFormat="1" x14ac:dyDescent="0.25"/>
    <row r="110" s="139" customFormat="1" x14ac:dyDescent="0.25"/>
    <row r="111" s="139" customFormat="1" x14ac:dyDescent="0.25"/>
    <row r="112" s="139" customFormat="1" x14ac:dyDescent="0.25"/>
    <row r="113" s="139" customFormat="1" x14ac:dyDescent="0.25"/>
    <row r="114" s="139" customFormat="1" x14ac:dyDescent="0.25"/>
    <row r="115" s="139" customFormat="1" x14ac:dyDescent="0.25"/>
    <row r="116" s="139" customFormat="1" x14ac:dyDescent="0.25"/>
    <row r="117" s="139" customFormat="1" x14ac:dyDescent="0.25"/>
    <row r="118" s="139" customFormat="1" x14ac:dyDescent="0.25"/>
    <row r="119" s="139" customFormat="1" x14ac:dyDescent="0.25"/>
    <row r="120" s="139" customFormat="1" x14ac:dyDescent="0.25"/>
    <row r="121" s="139" customFormat="1" x14ac:dyDescent="0.25"/>
    <row r="122" s="139" customFormat="1" x14ac:dyDescent="0.25"/>
    <row r="123" s="139" customFormat="1" x14ac:dyDescent="0.25"/>
    <row r="124" s="139" customFormat="1" x14ac:dyDescent="0.25"/>
    <row r="125" s="139" customFormat="1" x14ac:dyDescent="0.25"/>
    <row r="126" s="139" customFormat="1" x14ac:dyDescent="0.25"/>
    <row r="127" s="139" customFormat="1" x14ac:dyDescent="0.25"/>
    <row r="128" s="139" customFormat="1" x14ac:dyDescent="0.25"/>
    <row r="129" s="139" customFormat="1" x14ac:dyDescent="0.25"/>
    <row r="130" s="139" customFormat="1" x14ac:dyDescent="0.25"/>
    <row r="131" s="139" customFormat="1" x14ac:dyDescent="0.25"/>
    <row r="132" s="139" customFormat="1" x14ac:dyDescent="0.25"/>
    <row r="133" s="139" customFormat="1" x14ac:dyDescent="0.25"/>
    <row r="134" s="139" customFormat="1" x14ac:dyDescent="0.25"/>
    <row r="135" s="139" customFormat="1" x14ac:dyDescent="0.25"/>
    <row r="136" s="139" customFormat="1" x14ac:dyDescent="0.25"/>
    <row r="137" s="139" customFormat="1" x14ac:dyDescent="0.25"/>
    <row r="138" s="139" customFormat="1" x14ac:dyDescent="0.25"/>
    <row r="139" s="139" customFormat="1" x14ac:dyDescent="0.25"/>
    <row r="140" s="139" customFormat="1" x14ac:dyDescent="0.25"/>
    <row r="141" s="139" customFormat="1" x14ac:dyDescent="0.25"/>
    <row r="142" s="139" customFormat="1" x14ac:dyDescent="0.25"/>
    <row r="143" s="139" customFormat="1" x14ac:dyDescent="0.25"/>
    <row r="144" s="139" customFormat="1" x14ac:dyDescent="0.25"/>
    <row r="145" s="139" customFormat="1" x14ac:dyDescent="0.25"/>
    <row r="146" s="139" customFormat="1" x14ac:dyDescent="0.25"/>
    <row r="147" s="139" customFormat="1" x14ac:dyDescent="0.25"/>
    <row r="148" s="139" customFormat="1" x14ac:dyDescent="0.25"/>
    <row r="149" s="139" customFormat="1" x14ac:dyDescent="0.25"/>
    <row r="150" s="139" customFormat="1" x14ac:dyDescent="0.25"/>
    <row r="151" s="139" customFormat="1" x14ac:dyDescent="0.25"/>
    <row r="152" s="139" customFormat="1" x14ac:dyDescent="0.25"/>
    <row r="153" s="139" customFormat="1" x14ac:dyDescent="0.25"/>
    <row r="154" s="139" customFormat="1" x14ac:dyDescent="0.25"/>
    <row r="155" s="139" customFormat="1" x14ac:dyDescent="0.25"/>
    <row r="156" s="139" customFormat="1" x14ac:dyDescent="0.25"/>
    <row r="157" s="139" customFormat="1" x14ac:dyDescent="0.25"/>
    <row r="158" s="139" customFormat="1" x14ac:dyDescent="0.25"/>
    <row r="159" s="139" customFormat="1" x14ac:dyDescent="0.25"/>
    <row r="160" s="139" customFormat="1" x14ac:dyDescent="0.25"/>
    <row r="161" s="139" customFormat="1" x14ac:dyDescent="0.25"/>
    <row r="162" s="139" customFormat="1" x14ac:dyDescent="0.25"/>
    <row r="163" s="139" customFormat="1" x14ac:dyDescent="0.25"/>
    <row r="164" s="139" customFormat="1" x14ac:dyDescent="0.25"/>
    <row r="165" s="139" customFormat="1" x14ac:dyDescent="0.25"/>
    <row r="166" s="139" customFormat="1" x14ac:dyDescent="0.25"/>
    <row r="167" s="139" customFormat="1" x14ac:dyDescent="0.25"/>
    <row r="168" s="139" customFormat="1" x14ac:dyDescent="0.25"/>
    <row r="169" s="139" customFormat="1" x14ac:dyDescent="0.25"/>
    <row r="170" s="139" customFormat="1" x14ac:dyDescent="0.25"/>
    <row r="171" s="139" customFormat="1" x14ac:dyDescent="0.25"/>
    <row r="172" s="139" customFormat="1" x14ac:dyDescent="0.25"/>
    <row r="173" s="139" customFormat="1" x14ac:dyDescent="0.25"/>
    <row r="174" s="139" customFormat="1" x14ac:dyDescent="0.25"/>
    <row r="175" s="139" customFormat="1" x14ac:dyDescent="0.25"/>
    <row r="176" s="139" customFormat="1" x14ac:dyDescent="0.25"/>
    <row r="177" s="139" customFormat="1" x14ac:dyDescent="0.25"/>
    <row r="178" s="139" customFormat="1" x14ac:dyDescent="0.25"/>
    <row r="179" s="139" customFormat="1" x14ac:dyDescent="0.25"/>
    <row r="180" s="139" customFormat="1" x14ac:dyDescent="0.25"/>
    <row r="181" s="139" customFormat="1" x14ac:dyDescent="0.25"/>
    <row r="182" s="139" customFormat="1" x14ac:dyDescent="0.25"/>
    <row r="183" s="139" customFormat="1" x14ac:dyDescent="0.25"/>
    <row r="184" s="139" customFormat="1" x14ac:dyDescent="0.25"/>
    <row r="185" s="139" customFormat="1" x14ac:dyDescent="0.25"/>
    <row r="186" s="139" customFormat="1" x14ac:dyDescent="0.25"/>
    <row r="187" s="139" customFormat="1" x14ac:dyDescent="0.25"/>
    <row r="188" s="139" customFormat="1" x14ac:dyDescent="0.25"/>
    <row r="189" s="139" customFormat="1" x14ac:dyDescent="0.25"/>
    <row r="190" s="139" customFormat="1" x14ac:dyDescent="0.25"/>
    <row r="191" s="139" customFormat="1" x14ac:dyDescent="0.25"/>
    <row r="192" s="139" customFormat="1" x14ac:dyDescent="0.25"/>
    <row r="193" s="139" customFormat="1" x14ac:dyDescent="0.25"/>
    <row r="194" s="139" customFormat="1" x14ac:dyDescent="0.25"/>
    <row r="195" s="139" customFormat="1" x14ac:dyDescent="0.25"/>
    <row r="196" s="139" customFormat="1" x14ac:dyDescent="0.25"/>
    <row r="197" s="139" customFormat="1" x14ac:dyDescent="0.25"/>
    <row r="198" s="139" customFormat="1" x14ac:dyDescent="0.25"/>
    <row r="199" s="139" customFormat="1" x14ac:dyDescent="0.25"/>
    <row r="200" s="139" customFormat="1" x14ac:dyDescent="0.25"/>
    <row r="201" s="139" customFormat="1" x14ac:dyDescent="0.25"/>
    <row r="202" s="139" customFormat="1" x14ac:dyDescent="0.25"/>
    <row r="203" s="139" customFormat="1" x14ac:dyDescent="0.25"/>
    <row r="204" s="139" customFormat="1" x14ac:dyDescent="0.25"/>
    <row r="205" s="139" customFormat="1" x14ac:dyDescent="0.25"/>
    <row r="206" s="139" customFormat="1" x14ac:dyDescent="0.25"/>
    <row r="207" s="139" customFormat="1" x14ac:dyDescent="0.25"/>
    <row r="208" s="139" customFormat="1" x14ac:dyDescent="0.25"/>
    <row r="209" s="139" customFormat="1" x14ac:dyDescent="0.25"/>
    <row r="210" s="139" customFormat="1" x14ac:dyDescent="0.25"/>
    <row r="211" s="139" customFormat="1" x14ac:dyDescent="0.25"/>
    <row r="212" s="139" customFormat="1" x14ac:dyDescent="0.25"/>
    <row r="213" s="139" customFormat="1" x14ac:dyDescent="0.25"/>
    <row r="214" s="139" customFormat="1" x14ac:dyDescent="0.25"/>
    <row r="215" s="139" customFormat="1" x14ac:dyDescent="0.25"/>
    <row r="216" s="139" customFormat="1" x14ac:dyDescent="0.25"/>
    <row r="217" s="139" customFormat="1" x14ac:dyDescent="0.25"/>
    <row r="218" s="139" customFormat="1" x14ac:dyDescent="0.25"/>
    <row r="219" s="139" customFormat="1" x14ac:dyDescent="0.25"/>
    <row r="220" s="139" customFormat="1" x14ac:dyDescent="0.25"/>
    <row r="221" s="139" customFormat="1" x14ac:dyDescent="0.25"/>
    <row r="222" s="139" customFormat="1" x14ac:dyDescent="0.25"/>
    <row r="223" s="139" customFormat="1" x14ac:dyDescent="0.25"/>
    <row r="224" s="139" customFormat="1" x14ac:dyDescent="0.25"/>
    <row r="225" s="139" customFormat="1" x14ac:dyDescent="0.25"/>
    <row r="226" s="139" customFormat="1" x14ac:dyDescent="0.25"/>
    <row r="227" s="139" customFormat="1" x14ac:dyDescent="0.25"/>
    <row r="228" s="139" customFormat="1" x14ac:dyDescent="0.25"/>
    <row r="229" s="139" customFormat="1" x14ac:dyDescent="0.25"/>
    <row r="230" s="139" customFormat="1" x14ac:dyDescent="0.25"/>
    <row r="231" s="139" customFormat="1" x14ac:dyDescent="0.25"/>
    <row r="232" s="139" customFormat="1" x14ac:dyDescent="0.25"/>
    <row r="233" s="139" customFormat="1" x14ac:dyDescent="0.25"/>
    <row r="234" s="139" customFormat="1" x14ac:dyDescent="0.25"/>
    <row r="235" s="139" customFormat="1" x14ac:dyDescent="0.25"/>
    <row r="236" s="139" customFormat="1" x14ac:dyDescent="0.25"/>
    <row r="237" s="139" customFormat="1" x14ac:dyDescent="0.25"/>
    <row r="238" s="139" customFormat="1" x14ac:dyDescent="0.25"/>
    <row r="239" s="139" customFormat="1" x14ac:dyDescent="0.25"/>
    <row r="240" s="139" customFormat="1" x14ac:dyDescent="0.25"/>
    <row r="241" s="139" customFormat="1" x14ac:dyDescent="0.25"/>
    <row r="242" s="139" customFormat="1" x14ac:dyDescent="0.25"/>
    <row r="243" s="139" customFormat="1" x14ac:dyDescent="0.25"/>
    <row r="244" s="139" customFormat="1" x14ac:dyDescent="0.25"/>
    <row r="245" s="139" customFormat="1" x14ac:dyDescent="0.25"/>
    <row r="246" s="139" customFormat="1" x14ac:dyDescent="0.25"/>
    <row r="247" s="139" customFormat="1" x14ac:dyDescent="0.25"/>
    <row r="248" s="139" customFormat="1" x14ac:dyDescent="0.25"/>
    <row r="249" s="139" customFormat="1" x14ac:dyDescent="0.25"/>
    <row r="250" s="139" customFormat="1" x14ac:dyDescent="0.25"/>
    <row r="251" s="139" customFormat="1" x14ac:dyDescent="0.25"/>
    <row r="252" s="139" customFormat="1" x14ac:dyDescent="0.25"/>
    <row r="253" s="139" customFormat="1" x14ac:dyDescent="0.25"/>
    <row r="254" s="139" customFormat="1" x14ac:dyDescent="0.25"/>
    <row r="255" s="139" customFormat="1" x14ac:dyDescent="0.25"/>
    <row r="256" s="139" customFormat="1" x14ac:dyDescent="0.25"/>
    <row r="257" s="139" customFormat="1" x14ac:dyDescent="0.25"/>
    <row r="258" s="139" customFormat="1" x14ac:dyDescent="0.25"/>
    <row r="259" s="139" customFormat="1" x14ac:dyDescent="0.25"/>
    <row r="260" s="139" customFormat="1" x14ac:dyDescent="0.25"/>
    <row r="261" s="139" customFormat="1" x14ac:dyDescent="0.25"/>
    <row r="262" s="139" customFormat="1" x14ac:dyDescent="0.25"/>
    <row r="263" s="139" customFormat="1" x14ac:dyDescent="0.25"/>
    <row r="264" s="139" customFormat="1" x14ac:dyDescent="0.25"/>
    <row r="265" s="139" customFormat="1" x14ac:dyDescent="0.25"/>
    <row r="266" s="139" customFormat="1" x14ac:dyDescent="0.25"/>
    <row r="267" s="139" customFormat="1" x14ac:dyDescent="0.25"/>
    <row r="268" s="139" customFormat="1" x14ac:dyDescent="0.25"/>
    <row r="269" s="139" customFormat="1" x14ac:dyDescent="0.25"/>
    <row r="270" s="139" customFormat="1" x14ac:dyDescent="0.25"/>
    <row r="271" s="139" customFormat="1" x14ac:dyDescent="0.25"/>
    <row r="272" s="139" customFormat="1" x14ac:dyDescent="0.25"/>
  </sheetData>
  <sheetProtection algorithmName="SHA-512" hashValue="XRe5QnYUtWkCOrQZdLKPI+WmOmItpfAXegPv7Q+w5YwsdLpe1z8Dui2+elIwr6PBiIu9Ew1IGWDv3CMSmgNI2g==" saltValue="n0bxb6kvQ1hZHWN7bFnDgg==" spinCount="100000" sheet="1" objects="1" scenarios="1"/>
  <mergeCells count="28">
    <mergeCell ref="B48:H48"/>
    <mergeCell ref="B51:G51"/>
    <mergeCell ref="B29:F29"/>
    <mergeCell ref="E11:F11"/>
    <mergeCell ref="B28:F28"/>
    <mergeCell ref="B20:C20"/>
    <mergeCell ref="E20:F20"/>
    <mergeCell ref="B21:C21"/>
    <mergeCell ref="E21:F21"/>
    <mergeCell ref="B30:F30"/>
    <mergeCell ref="B32:H32"/>
    <mergeCell ref="B34:G34"/>
    <mergeCell ref="B2:F2"/>
    <mergeCell ref="B46:G46"/>
    <mergeCell ref="B4:F4"/>
    <mergeCell ref="B18:C18"/>
    <mergeCell ref="E18:F18"/>
    <mergeCell ref="B25:C25"/>
    <mergeCell ref="E25:F25"/>
    <mergeCell ref="E5:F5"/>
    <mergeCell ref="B16:C16"/>
    <mergeCell ref="E16:F16"/>
    <mergeCell ref="B17:C17"/>
    <mergeCell ref="E17:F17"/>
    <mergeCell ref="B14:C14"/>
    <mergeCell ref="B11:C11"/>
    <mergeCell ref="B23:C23"/>
    <mergeCell ref="E23:F23"/>
  </mergeCells>
  <dataValidations count="1">
    <dataValidation type="whole" allowBlank="1" showInputMessage="1" showErrorMessage="1" sqref="D7">
      <formula1>0</formula1>
      <formula2>10000000</formula2>
    </dataValidation>
  </dataValidations>
  <hyperlinks>
    <hyperlink ref="B30:F30" r:id="rId1" display="When deciding the most appropriate way of meeting the demand regard should be had to the Government's regulations and guidance regarding the Community Infrastructure Levy (CIL) and the use planning obligations (e.g. the three tests and pooling restriction"/>
    <hyperlink ref="D11" location="'PPS Data'!A1" display="Go to 'PPS Data' sheet"/>
    <hyperlink ref="B46:G46" r:id="rId2" display="https://www.sportengland.org/facilities-planning/tools-guidance/design-and-cost-guidance/cost-guidance/"/>
  </hyperlinks>
  <pageMargins left="0.70866141732283472" right="0.70866141732283472" top="0.74803149606299213" bottom="0.74803149606299213" header="0.31496062992125984" footer="0.31496062992125984"/>
  <pageSetup paperSize="9" scale="56"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Workings!$C$38:$C$374</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1:AR222"/>
  <sheetViews>
    <sheetView view="pageBreakPreview" topLeftCell="A7" zoomScaleNormal="100" zoomScaleSheetLayoutView="100" workbookViewId="0">
      <selection activeCell="C14" sqref="C14"/>
    </sheetView>
  </sheetViews>
  <sheetFormatPr defaultColWidth="8.88671875" defaultRowHeight="13.8" x14ac:dyDescent="0.3"/>
  <cols>
    <col min="1" max="1" width="2.6640625" style="3" customWidth="1"/>
    <col min="2" max="2" width="36.109375" style="3" customWidth="1"/>
    <col min="3" max="4" width="30.109375" style="3" customWidth="1"/>
    <col min="5" max="5" width="1.6640625" style="3" customWidth="1"/>
    <col min="6" max="7" width="30.109375" style="3" customWidth="1"/>
    <col min="8" max="8" width="4.6640625" style="3" customWidth="1"/>
    <col min="9" max="9" width="2.109375" style="89" customWidth="1"/>
    <col min="10" max="10" width="23" style="89" customWidth="1"/>
    <col min="11" max="11" width="2.109375" style="89" customWidth="1"/>
    <col min="12" max="12" width="3.6640625" style="89" customWidth="1"/>
    <col min="13" max="44" width="8.88671875" style="89"/>
    <col min="45" max="16384" width="8.88671875" style="3"/>
  </cols>
  <sheetData>
    <row r="1" spans="2:44" ht="11.25" customHeight="1" x14ac:dyDescent="0.3"/>
    <row r="2" spans="2:44" ht="21" x14ac:dyDescent="0.3">
      <c r="B2" s="79" t="s">
        <v>492</v>
      </c>
    </row>
    <row r="3" spans="2:44" ht="12.75" customHeight="1" thickBot="1" x14ac:dyDescent="0.35"/>
    <row r="4" spans="2:44" s="73" customFormat="1" ht="220.5" customHeight="1" thickBot="1" x14ac:dyDescent="0.3">
      <c r="B4" s="250" t="s">
        <v>525</v>
      </c>
      <c r="C4" s="251"/>
      <c r="D4" s="251"/>
      <c r="E4" s="251"/>
      <c r="F4" s="251"/>
      <c r="G4" s="252"/>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row>
    <row r="5" spans="2:44" ht="16.2" thickBot="1" x14ac:dyDescent="0.35">
      <c r="B5" s="52"/>
      <c r="C5" s="52"/>
      <c r="D5" s="52"/>
      <c r="E5" s="52"/>
      <c r="F5" s="52"/>
      <c r="G5" s="52"/>
    </row>
    <row r="6" spans="2:44" ht="18" customHeight="1" thickBot="1" x14ac:dyDescent="0.35">
      <c r="B6" s="8"/>
      <c r="C6" s="261" t="s">
        <v>406</v>
      </c>
      <c r="D6" s="262"/>
      <c r="E6" s="75"/>
      <c r="F6" s="259" t="s">
        <v>407</v>
      </c>
      <c r="G6" s="260"/>
    </row>
    <row r="7" spans="2:44" ht="44.25" customHeight="1" x14ac:dyDescent="0.3">
      <c r="B7" s="257" t="s">
        <v>0</v>
      </c>
      <c r="C7" s="12" t="s">
        <v>496</v>
      </c>
      <c r="D7" s="12" t="s">
        <v>497</v>
      </c>
      <c r="E7" s="13"/>
      <c r="F7" s="253" t="s">
        <v>524</v>
      </c>
      <c r="G7" s="255" t="s">
        <v>508</v>
      </c>
    </row>
    <row r="8" spans="2:44" ht="14.4" x14ac:dyDescent="0.3">
      <c r="B8" s="258"/>
      <c r="C8" s="10" t="str">
        <f>Calculator!D5</f>
        <v>Cheltenham</v>
      </c>
      <c r="D8" s="10" t="str">
        <f>Calculator!D5</f>
        <v>Cheltenham</v>
      </c>
      <c r="E8" s="11"/>
      <c r="F8" s="254"/>
      <c r="G8" s="256"/>
    </row>
    <row r="9" spans="2:44" x14ac:dyDescent="0.3">
      <c r="B9" s="92" t="s">
        <v>1</v>
      </c>
      <c r="C9" s="103">
        <v>24088</v>
      </c>
      <c r="D9" s="103">
        <v>512.51063829787233</v>
      </c>
      <c r="E9" s="133"/>
      <c r="F9" s="94">
        <v>1</v>
      </c>
      <c r="G9" s="95">
        <v>0</v>
      </c>
    </row>
    <row r="10" spans="2:44" x14ac:dyDescent="0.3">
      <c r="B10" s="93" t="s">
        <v>2</v>
      </c>
      <c r="C10" s="104">
        <v>24053</v>
      </c>
      <c r="D10" s="104">
        <v>4810.6000000000004</v>
      </c>
      <c r="E10" s="133"/>
      <c r="F10" s="96">
        <v>1</v>
      </c>
      <c r="G10" s="97">
        <v>0</v>
      </c>
    </row>
    <row r="11" spans="2:44" x14ac:dyDescent="0.3">
      <c r="B11" s="93" t="s">
        <v>3</v>
      </c>
      <c r="C11" s="104">
        <v>2438</v>
      </c>
      <c r="D11" s="104">
        <v>73.878787878787875</v>
      </c>
      <c r="E11" s="133"/>
      <c r="F11" s="96">
        <v>1</v>
      </c>
      <c r="G11" s="97">
        <v>0</v>
      </c>
    </row>
    <row r="12" spans="2:44" x14ac:dyDescent="0.3">
      <c r="B12" s="93" t="s">
        <v>4</v>
      </c>
      <c r="C12" s="104">
        <v>2510</v>
      </c>
      <c r="D12" s="104">
        <v>627.5</v>
      </c>
      <c r="E12" s="133"/>
      <c r="F12" s="96">
        <v>1</v>
      </c>
      <c r="G12" s="97">
        <v>0</v>
      </c>
    </row>
    <row r="13" spans="2:44" x14ac:dyDescent="0.3">
      <c r="B13" s="93" t="s">
        <v>5</v>
      </c>
      <c r="C13" s="104">
        <v>1194</v>
      </c>
      <c r="D13" s="104">
        <v>54.272727272727273</v>
      </c>
      <c r="E13" s="133"/>
      <c r="F13" s="96">
        <v>1</v>
      </c>
      <c r="G13" s="97">
        <v>0</v>
      </c>
    </row>
    <row r="14" spans="2:44" x14ac:dyDescent="0.3">
      <c r="B14" s="93" t="s">
        <v>6</v>
      </c>
      <c r="C14" s="104">
        <v>1147</v>
      </c>
      <c r="D14" s="104">
        <v>0</v>
      </c>
      <c r="E14" s="133"/>
      <c r="F14" s="96">
        <v>1</v>
      </c>
      <c r="G14" s="97">
        <v>0</v>
      </c>
    </row>
    <row r="15" spans="2:44" x14ac:dyDescent="0.3">
      <c r="B15" s="93" t="s">
        <v>7</v>
      </c>
      <c r="C15" s="104">
        <v>2517</v>
      </c>
      <c r="D15" s="104">
        <v>148.05882352941177</v>
      </c>
      <c r="E15" s="133"/>
      <c r="F15" s="96">
        <v>1</v>
      </c>
      <c r="G15" s="97">
        <v>0</v>
      </c>
    </row>
    <row r="16" spans="2:44" x14ac:dyDescent="0.3">
      <c r="B16" s="93" t="s">
        <v>8</v>
      </c>
      <c r="C16" s="104">
        <v>2585</v>
      </c>
      <c r="D16" s="104">
        <v>287.22222222222223</v>
      </c>
      <c r="E16" s="133"/>
      <c r="F16" s="96">
        <v>1</v>
      </c>
      <c r="G16" s="97">
        <v>0</v>
      </c>
    </row>
    <row r="17" spans="2:12" x14ac:dyDescent="0.3">
      <c r="B17" s="76" t="s">
        <v>9</v>
      </c>
      <c r="C17" s="105">
        <v>30791</v>
      </c>
      <c r="D17" s="105">
        <v>1620.578947368421</v>
      </c>
      <c r="E17" s="133"/>
      <c r="F17" s="122" t="s">
        <v>409</v>
      </c>
      <c r="G17" s="78">
        <v>0</v>
      </c>
    </row>
    <row r="18" spans="2:12" x14ac:dyDescent="0.3">
      <c r="B18" s="76" t="s">
        <v>10</v>
      </c>
      <c r="C18" s="105">
        <v>30660</v>
      </c>
      <c r="D18" s="105">
        <v>30660</v>
      </c>
      <c r="E18" s="133"/>
      <c r="F18" s="122" t="s">
        <v>409</v>
      </c>
      <c r="G18" s="78">
        <v>0</v>
      </c>
    </row>
    <row r="19" spans="2:12" x14ac:dyDescent="0.3">
      <c r="B19" s="76" t="s">
        <v>11</v>
      </c>
      <c r="C19" s="105">
        <v>7649</v>
      </c>
      <c r="D19" s="105">
        <v>478.0625</v>
      </c>
      <c r="E19" s="133"/>
      <c r="F19" s="122" t="s">
        <v>409</v>
      </c>
      <c r="G19" s="78">
        <v>0</v>
      </c>
    </row>
    <row r="20" spans="2:12" x14ac:dyDescent="0.3">
      <c r="B20" s="76" t="s">
        <v>12</v>
      </c>
      <c r="C20" s="105">
        <v>7712</v>
      </c>
      <c r="D20" s="105">
        <v>1101.7142857142858</v>
      </c>
      <c r="E20" s="133"/>
      <c r="F20" s="122" t="s">
        <v>409</v>
      </c>
      <c r="G20" s="78">
        <v>0</v>
      </c>
      <c r="L20" s="102"/>
    </row>
    <row r="21" spans="2:12" x14ac:dyDescent="0.3">
      <c r="B21" s="93" t="s">
        <v>13</v>
      </c>
      <c r="C21" s="104">
        <v>22011</v>
      </c>
      <c r="D21" s="104">
        <v>2201.1</v>
      </c>
      <c r="E21" s="133"/>
      <c r="F21" s="96">
        <v>1</v>
      </c>
      <c r="G21" s="97">
        <v>0</v>
      </c>
    </row>
    <row r="22" spans="2:12" x14ac:dyDescent="0.3">
      <c r="B22" s="93" t="s">
        <v>14</v>
      </c>
      <c r="C22" s="104">
        <v>21860</v>
      </c>
      <c r="D22" s="104">
        <v>21860</v>
      </c>
      <c r="E22" s="133"/>
      <c r="F22" s="96">
        <v>1</v>
      </c>
      <c r="G22" s="97">
        <v>0</v>
      </c>
    </row>
    <row r="23" spans="2:12" x14ac:dyDescent="0.3">
      <c r="B23" s="93" t="s">
        <v>15</v>
      </c>
      <c r="C23" s="104">
        <v>3913</v>
      </c>
      <c r="D23" s="104">
        <v>652.16666666666663</v>
      </c>
      <c r="E23" s="133"/>
      <c r="F23" s="96">
        <v>1</v>
      </c>
      <c r="G23" s="97">
        <v>0</v>
      </c>
    </row>
    <row r="24" spans="2:12" x14ac:dyDescent="0.3">
      <c r="B24" s="93" t="s">
        <v>16</v>
      </c>
      <c r="C24" s="104">
        <v>4054</v>
      </c>
      <c r="D24" s="104">
        <v>0</v>
      </c>
      <c r="E24" s="133"/>
      <c r="F24" s="96">
        <v>1</v>
      </c>
      <c r="G24" s="97">
        <v>0</v>
      </c>
    </row>
    <row r="25" spans="2:12" x14ac:dyDescent="0.3">
      <c r="B25" s="93" t="s">
        <v>17</v>
      </c>
      <c r="C25" s="104">
        <v>7394</v>
      </c>
      <c r="D25" s="104">
        <v>1848.5</v>
      </c>
      <c r="E25" s="133"/>
      <c r="F25" s="96">
        <v>1</v>
      </c>
      <c r="G25" s="97">
        <v>0</v>
      </c>
    </row>
    <row r="26" spans="2:12" x14ac:dyDescent="0.3">
      <c r="B26" s="76" t="s">
        <v>18</v>
      </c>
      <c r="C26" s="105">
        <v>22011</v>
      </c>
      <c r="D26" s="105">
        <v>5502.75</v>
      </c>
      <c r="E26" s="133"/>
      <c r="F26" s="77">
        <v>1</v>
      </c>
      <c r="G26" s="78">
        <v>0</v>
      </c>
    </row>
    <row r="27" spans="2:12" x14ac:dyDescent="0.3">
      <c r="B27" s="76" t="s">
        <v>19</v>
      </c>
      <c r="C27" s="105">
        <v>21860</v>
      </c>
      <c r="D27" s="105">
        <v>0</v>
      </c>
      <c r="E27" s="133"/>
      <c r="F27" s="77">
        <v>1</v>
      </c>
      <c r="G27" s="78">
        <v>0</v>
      </c>
    </row>
    <row r="28" spans="2:12" x14ac:dyDescent="0.3">
      <c r="B28" s="76" t="s">
        <v>20</v>
      </c>
      <c r="C28" s="105">
        <v>4515</v>
      </c>
      <c r="D28" s="105">
        <v>0</v>
      </c>
      <c r="E28" s="133"/>
      <c r="F28" s="77">
        <v>1</v>
      </c>
      <c r="G28" s="78">
        <v>0</v>
      </c>
    </row>
    <row r="29" spans="2:12" x14ac:dyDescent="0.3">
      <c r="B29" s="76" t="s">
        <v>21</v>
      </c>
      <c r="C29" s="105">
        <v>4703</v>
      </c>
      <c r="D29" s="105">
        <v>0</v>
      </c>
      <c r="E29" s="133"/>
      <c r="F29" s="77">
        <v>1</v>
      </c>
      <c r="G29" s="78">
        <v>0</v>
      </c>
    </row>
    <row r="30" spans="2:12" x14ac:dyDescent="0.3">
      <c r="B30" s="76" t="s">
        <v>22</v>
      </c>
      <c r="C30" s="105">
        <v>6143</v>
      </c>
      <c r="D30" s="105">
        <v>0</v>
      </c>
      <c r="E30" s="133"/>
      <c r="F30" s="77">
        <v>1</v>
      </c>
      <c r="G30" s="78">
        <v>0</v>
      </c>
    </row>
    <row r="31" spans="2:12" x14ac:dyDescent="0.3">
      <c r="B31" s="93" t="s">
        <v>23</v>
      </c>
      <c r="C31" s="104">
        <v>32149</v>
      </c>
      <c r="D31" s="104">
        <v>4592.7142857142853</v>
      </c>
      <c r="E31" s="133"/>
      <c r="F31" s="96">
        <v>1</v>
      </c>
      <c r="G31" s="97">
        <v>0</v>
      </c>
    </row>
    <row r="32" spans="2:12" x14ac:dyDescent="0.3">
      <c r="B32" s="93" t="s">
        <v>24</v>
      </c>
      <c r="C32" s="104">
        <v>32067</v>
      </c>
      <c r="D32" s="104">
        <v>4008.375</v>
      </c>
      <c r="E32" s="133"/>
      <c r="F32" s="96">
        <v>1</v>
      </c>
      <c r="G32" s="97">
        <v>0</v>
      </c>
    </row>
    <row r="33" spans="2:7" x14ac:dyDescent="0.3">
      <c r="B33" s="93" t="s">
        <v>25</v>
      </c>
      <c r="C33" s="104">
        <v>3077</v>
      </c>
      <c r="D33" s="104">
        <v>1025.6666666666667</v>
      </c>
      <c r="E33" s="133"/>
      <c r="F33" s="96">
        <v>1</v>
      </c>
      <c r="G33" s="97">
        <v>0</v>
      </c>
    </row>
    <row r="34" spans="2:7" ht="14.4" thickBot="1" x14ac:dyDescent="0.35">
      <c r="B34" s="98" t="s">
        <v>26</v>
      </c>
      <c r="C34" s="106">
        <v>3109</v>
      </c>
      <c r="D34" s="106">
        <v>777.25</v>
      </c>
      <c r="E34" s="134"/>
      <c r="F34" s="99">
        <v>1</v>
      </c>
      <c r="G34" s="100">
        <v>0</v>
      </c>
    </row>
    <row r="35" spans="2:7" x14ac:dyDescent="0.3">
      <c r="B35" s="123" t="s">
        <v>515</v>
      </c>
    </row>
    <row r="37" spans="2:7" s="89" customFormat="1" x14ac:dyDescent="0.3"/>
    <row r="38" spans="2:7" s="89" customFormat="1" x14ac:dyDescent="0.3"/>
    <row r="39" spans="2:7" s="89" customFormat="1" x14ac:dyDescent="0.3"/>
    <row r="40" spans="2:7" s="89" customFormat="1" x14ac:dyDescent="0.3"/>
    <row r="41" spans="2:7" s="89" customFormat="1" x14ac:dyDescent="0.3"/>
    <row r="42" spans="2:7" s="89" customFormat="1" x14ac:dyDescent="0.3"/>
    <row r="43" spans="2:7" s="89" customFormat="1" x14ac:dyDescent="0.3"/>
    <row r="44" spans="2:7" s="89" customFormat="1" x14ac:dyDescent="0.3"/>
    <row r="45" spans="2:7" s="89" customFormat="1" x14ac:dyDescent="0.3"/>
    <row r="46" spans="2:7" s="89" customFormat="1" x14ac:dyDescent="0.3"/>
    <row r="47" spans="2:7" s="89" customFormat="1" x14ac:dyDescent="0.3"/>
    <row r="48" spans="2:7" s="89" customFormat="1" x14ac:dyDescent="0.3"/>
    <row r="49" s="89" customFormat="1" x14ac:dyDescent="0.3"/>
    <row r="50" s="89" customFormat="1" x14ac:dyDescent="0.3"/>
    <row r="51" s="89" customFormat="1" x14ac:dyDescent="0.3"/>
    <row r="52" s="89" customFormat="1" x14ac:dyDescent="0.3"/>
    <row r="53" s="89" customFormat="1" x14ac:dyDescent="0.3"/>
    <row r="54" s="89" customFormat="1" x14ac:dyDescent="0.3"/>
    <row r="55" s="89" customFormat="1" x14ac:dyDescent="0.3"/>
    <row r="56" s="89" customFormat="1" x14ac:dyDescent="0.3"/>
    <row r="57" s="89" customFormat="1" x14ac:dyDescent="0.3"/>
    <row r="58" s="89" customFormat="1" x14ac:dyDescent="0.3"/>
    <row r="59" s="89" customFormat="1" x14ac:dyDescent="0.3"/>
    <row r="60" s="89" customFormat="1" x14ac:dyDescent="0.3"/>
    <row r="61" s="89" customFormat="1" x14ac:dyDescent="0.3"/>
    <row r="62" s="89" customFormat="1" x14ac:dyDescent="0.3"/>
    <row r="63" s="89" customFormat="1" x14ac:dyDescent="0.3"/>
    <row r="64" s="89" customFormat="1" x14ac:dyDescent="0.3"/>
    <row r="65" s="89" customFormat="1" x14ac:dyDescent="0.3"/>
    <row r="66" s="89" customFormat="1" x14ac:dyDescent="0.3"/>
    <row r="67" s="89" customFormat="1" x14ac:dyDescent="0.3"/>
    <row r="68" s="89" customFormat="1" x14ac:dyDescent="0.3"/>
    <row r="69" s="89" customFormat="1" x14ac:dyDescent="0.3"/>
    <row r="70" s="89" customFormat="1" x14ac:dyDescent="0.3"/>
    <row r="71" s="89" customFormat="1" x14ac:dyDescent="0.3"/>
    <row r="72" s="89" customFormat="1" x14ac:dyDescent="0.3"/>
    <row r="73" s="89" customFormat="1" x14ac:dyDescent="0.3"/>
    <row r="74" s="89" customFormat="1" x14ac:dyDescent="0.3"/>
    <row r="75" s="89" customFormat="1" x14ac:dyDescent="0.3"/>
    <row r="76" s="89" customFormat="1" x14ac:dyDescent="0.3"/>
    <row r="77" s="89" customFormat="1" x14ac:dyDescent="0.3"/>
    <row r="78" s="89" customFormat="1" x14ac:dyDescent="0.3"/>
    <row r="79" s="89" customFormat="1" x14ac:dyDescent="0.3"/>
    <row r="80" s="89" customFormat="1" x14ac:dyDescent="0.3"/>
    <row r="81" s="89" customFormat="1" x14ac:dyDescent="0.3"/>
    <row r="82" s="89" customFormat="1" x14ac:dyDescent="0.3"/>
    <row r="83" s="89" customFormat="1" x14ac:dyDescent="0.3"/>
    <row r="84" s="89" customFormat="1" x14ac:dyDescent="0.3"/>
    <row r="85" s="89" customFormat="1" x14ac:dyDescent="0.3"/>
    <row r="86" s="89" customFormat="1" x14ac:dyDescent="0.3"/>
    <row r="87" s="89" customFormat="1" x14ac:dyDescent="0.3"/>
    <row r="88" s="89" customFormat="1" x14ac:dyDescent="0.3"/>
    <row r="89" s="89" customFormat="1" x14ac:dyDescent="0.3"/>
    <row r="90" s="89" customFormat="1" x14ac:dyDescent="0.3"/>
    <row r="91" s="89" customFormat="1" x14ac:dyDescent="0.3"/>
    <row r="92" s="89" customFormat="1" x14ac:dyDescent="0.3"/>
    <row r="93" s="89" customFormat="1" x14ac:dyDescent="0.3"/>
    <row r="94" s="89" customFormat="1" x14ac:dyDescent="0.3"/>
    <row r="95" s="89" customFormat="1" x14ac:dyDescent="0.3"/>
    <row r="96" s="89" customFormat="1" x14ac:dyDescent="0.3"/>
    <row r="97" s="89" customFormat="1" x14ac:dyDescent="0.3"/>
    <row r="98" s="89" customFormat="1" x14ac:dyDescent="0.3"/>
    <row r="99" s="89" customFormat="1" x14ac:dyDescent="0.3"/>
    <row r="100" s="89" customFormat="1" x14ac:dyDescent="0.3"/>
    <row r="101" s="89" customFormat="1" x14ac:dyDescent="0.3"/>
    <row r="102" s="89" customFormat="1" x14ac:dyDescent="0.3"/>
    <row r="103" s="89" customFormat="1" x14ac:dyDescent="0.3"/>
    <row r="104" s="89" customFormat="1" x14ac:dyDescent="0.3"/>
    <row r="105" s="89" customFormat="1" x14ac:dyDescent="0.3"/>
    <row r="106" s="89" customFormat="1" x14ac:dyDescent="0.3"/>
    <row r="107" s="89" customFormat="1" x14ac:dyDescent="0.3"/>
    <row r="108" s="89" customFormat="1" x14ac:dyDescent="0.3"/>
    <row r="109" s="89" customFormat="1" x14ac:dyDescent="0.3"/>
    <row r="110" s="89" customFormat="1" x14ac:dyDescent="0.3"/>
    <row r="111" s="89" customFormat="1" x14ac:dyDescent="0.3"/>
    <row r="112" s="89" customFormat="1" x14ac:dyDescent="0.3"/>
    <row r="113" s="89" customFormat="1" x14ac:dyDescent="0.3"/>
    <row r="114" s="89" customFormat="1" x14ac:dyDescent="0.3"/>
    <row r="115" s="89" customFormat="1" x14ac:dyDescent="0.3"/>
    <row r="116" s="89" customFormat="1" x14ac:dyDescent="0.3"/>
    <row r="117" s="89" customFormat="1" x14ac:dyDescent="0.3"/>
    <row r="118" s="89" customFormat="1" x14ac:dyDescent="0.3"/>
    <row r="119" s="89" customFormat="1" x14ac:dyDescent="0.3"/>
    <row r="120" s="89" customFormat="1" x14ac:dyDescent="0.3"/>
    <row r="121" s="89" customFormat="1" x14ac:dyDescent="0.3"/>
    <row r="122" s="89" customFormat="1" x14ac:dyDescent="0.3"/>
    <row r="123" s="89" customFormat="1" x14ac:dyDescent="0.3"/>
    <row r="124" s="89" customFormat="1" x14ac:dyDescent="0.3"/>
    <row r="125" s="89" customFormat="1" x14ac:dyDescent="0.3"/>
    <row r="126" s="89" customFormat="1" x14ac:dyDescent="0.3"/>
    <row r="127" s="89" customFormat="1" x14ac:dyDescent="0.3"/>
    <row r="128" s="89" customFormat="1" x14ac:dyDescent="0.3"/>
    <row r="129" s="89" customFormat="1" x14ac:dyDescent="0.3"/>
    <row r="130" s="89" customFormat="1" x14ac:dyDescent="0.3"/>
    <row r="131" s="89" customFormat="1" x14ac:dyDescent="0.3"/>
    <row r="132" s="89" customFormat="1" x14ac:dyDescent="0.3"/>
    <row r="133" s="89" customFormat="1" x14ac:dyDescent="0.3"/>
    <row r="134" s="89" customFormat="1" x14ac:dyDescent="0.3"/>
    <row r="135" s="89" customFormat="1" x14ac:dyDescent="0.3"/>
    <row r="136" s="89" customFormat="1" x14ac:dyDescent="0.3"/>
    <row r="137" s="89" customFormat="1" x14ac:dyDescent="0.3"/>
    <row r="138" s="89" customFormat="1" x14ac:dyDescent="0.3"/>
    <row r="139" s="89" customFormat="1" x14ac:dyDescent="0.3"/>
    <row r="140" s="89" customFormat="1" x14ac:dyDescent="0.3"/>
    <row r="141" s="89" customFormat="1" x14ac:dyDescent="0.3"/>
    <row r="142" s="89" customFormat="1" x14ac:dyDescent="0.3"/>
    <row r="143" s="89" customFormat="1" x14ac:dyDescent="0.3"/>
    <row r="144" s="89" customFormat="1" x14ac:dyDescent="0.3"/>
    <row r="145" s="89" customFormat="1" x14ac:dyDescent="0.3"/>
    <row r="146" s="89" customFormat="1" x14ac:dyDescent="0.3"/>
    <row r="147" s="89" customFormat="1" x14ac:dyDescent="0.3"/>
    <row r="148" s="89" customFormat="1" x14ac:dyDescent="0.3"/>
    <row r="149" s="89" customFormat="1" x14ac:dyDescent="0.3"/>
    <row r="150" s="89" customFormat="1" x14ac:dyDescent="0.3"/>
    <row r="151" s="89" customFormat="1" x14ac:dyDescent="0.3"/>
    <row r="152" s="89" customFormat="1" x14ac:dyDescent="0.3"/>
    <row r="153" s="89" customFormat="1" x14ac:dyDescent="0.3"/>
    <row r="154" s="89" customFormat="1" x14ac:dyDescent="0.3"/>
    <row r="155" s="89" customFormat="1" x14ac:dyDescent="0.3"/>
    <row r="156" s="89" customFormat="1" x14ac:dyDescent="0.3"/>
    <row r="157" s="89" customFormat="1" x14ac:dyDescent="0.3"/>
    <row r="158" s="89" customFormat="1" x14ac:dyDescent="0.3"/>
    <row r="159" s="89" customFormat="1" x14ac:dyDescent="0.3"/>
    <row r="160" s="89" customFormat="1" x14ac:dyDescent="0.3"/>
    <row r="161" s="89" customFormat="1" x14ac:dyDescent="0.3"/>
    <row r="162" s="89" customFormat="1" x14ac:dyDescent="0.3"/>
    <row r="163" s="89" customFormat="1" x14ac:dyDescent="0.3"/>
    <row r="164" s="89" customFormat="1" x14ac:dyDescent="0.3"/>
    <row r="165" s="89" customFormat="1" x14ac:dyDescent="0.3"/>
    <row r="166" s="89" customFormat="1" x14ac:dyDescent="0.3"/>
    <row r="167" s="89" customFormat="1" x14ac:dyDescent="0.3"/>
    <row r="168" s="89" customFormat="1" x14ac:dyDescent="0.3"/>
    <row r="169" s="89" customFormat="1" x14ac:dyDescent="0.3"/>
    <row r="170" s="89" customFormat="1" x14ac:dyDescent="0.3"/>
    <row r="171" s="89" customFormat="1" x14ac:dyDescent="0.3"/>
    <row r="172" s="89" customFormat="1" x14ac:dyDescent="0.3"/>
    <row r="173" s="89" customFormat="1" x14ac:dyDescent="0.3"/>
    <row r="174" s="89" customFormat="1" x14ac:dyDescent="0.3"/>
    <row r="175" s="89" customFormat="1" x14ac:dyDescent="0.3"/>
    <row r="176" s="89" customFormat="1" x14ac:dyDescent="0.3"/>
    <row r="177" s="89" customFormat="1" x14ac:dyDescent="0.3"/>
    <row r="178" s="89" customFormat="1" x14ac:dyDescent="0.3"/>
    <row r="179" s="89" customFormat="1" x14ac:dyDescent="0.3"/>
    <row r="180" s="89" customFormat="1" x14ac:dyDescent="0.3"/>
    <row r="181" s="89" customFormat="1" x14ac:dyDescent="0.3"/>
    <row r="182" s="89" customFormat="1" x14ac:dyDescent="0.3"/>
    <row r="183" s="89" customFormat="1" x14ac:dyDescent="0.3"/>
    <row r="184" s="89" customFormat="1" x14ac:dyDescent="0.3"/>
    <row r="185" s="89" customFormat="1" x14ac:dyDescent="0.3"/>
    <row r="186" s="89" customFormat="1" x14ac:dyDescent="0.3"/>
    <row r="187" s="89" customFormat="1" x14ac:dyDescent="0.3"/>
    <row r="188" s="89" customFormat="1" x14ac:dyDescent="0.3"/>
    <row r="189" s="89" customFormat="1" x14ac:dyDescent="0.3"/>
    <row r="190" s="89" customFormat="1" x14ac:dyDescent="0.3"/>
    <row r="191" s="89" customFormat="1" x14ac:dyDescent="0.3"/>
    <row r="192" s="89" customFormat="1" x14ac:dyDescent="0.3"/>
    <row r="193" s="89" customFormat="1" x14ac:dyDescent="0.3"/>
    <row r="194" s="89" customFormat="1" x14ac:dyDescent="0.3"/>
    <row r="195" s="89" customFormat="1" x14ac:dyDescent="0.3"/>
    <row r="196" s="89" customFormat="1" x14ac:dyDescent="0.3"/>
    <row r="197" s="89" customFormat="1" x14ac:dyDescent="0.3"/>
    <row r="198" s="89" customFormat="1" x14ac:dyDescent="0.3"/>
    <row r="199" s="89" customFormat="1" x14ac:dyDescent="0.3"/>
    <row r="200" s="89" customFormat="1" x14ac:dyDescent="0.3"/>
    <row r="201" s="89" customFormat="1" x14ac:dyDescent="0.3"/>
    <row r="202" s="89" customFormat="1" x14ac:dyDescent="0.3"/>
    <row r="203" s="89" customFormat="1" x14ac:dyDescent="0.3"/>
    <row r="204" s="89" customFormat="1" x14ac:dyDescent="0.3"/>
    <row r="205" s="89" customFormat="1" x14ac:dyDescent="0.3"/>
    <row r="206" s="89" customFormat="1" x14ac:dyDescent="0.3"/>
    <row r="207" s="89" customFormat="1" x14ac:dyDescent="0.3"/>
    <row r="208" s="89" customFormat="1" x14ac:dyDescent="0.3"/>
    <row r="209" s="89" customFormat="1" x14ac:dyDescent="0.3"/>
    <row r="210" s="89" customFormat="1" x14ac:dyDescent="0.3"/>
    <row r="211" s="89" customFormat="1" x14ac:dyDescent="0.3"/>
    <row r="212" s="89" customFormat="1" x14ac:dyDescent="0.3"/>
    <row r="213" s="89" customFormat="1" x14ac:dyDescent="0.3"/>
    <row r="214" s="89" customFormat="1" x14ac:dyDescent="0.3"/>
    <row r="215" s="89" customFormat="1" x14ac:dyDescent="0.3"/>
    <row r="216" s="89" customFormat="1" x14ac:dyDescent="0.3"/>
    <row r="217" s="89" customFormat="1" x14ac:dyDescent="0.3"/>
    <row r="218" s="89" customFormat="1" x14ac:dyDescent="0.3"/>
    <row r="219" s="89" customFormat="1" x14ac:dyDescent="0.3"/>
    <row r="220" s="89" customFormat="1" x14ac:dyDescent="0.3"/>
    <row r="221" s="89" customFormat="1" x14ac:dyDescent="0.3"/>
    <row r="222" s="89" customFormat="1" x14ac:dyDescent="0.3"/>
  </sheetData>
  <sheetProtection algorithmName="SHA-512" hashValue="olHX7Tp1Qc5iXiBBRctvJh9W4kHGoDUUbms4scFWcAlHanAUKCBJ5W6zMtRUB261TY+E4XX0PgYG4mC+uUH7/A==" saltValue="Z7vYbZVN7ouw1dL3X4LPEQ==" spinCount="100000" sheet="1" objects="1" scenarios="1"/>
  <mergeCells count="6">
    <mergeCell ref="B4:G4"/>
    <mergeCell ref="F7:F8"/>
    <mergeCell ref="G7:G8"/>
    <mergeCell ref="B7:B8"/>
    <mergeCell ref="F6:G6"/>
    <mergeCell ref="C6:D6"/>
  </mergeCells>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C134"/>
  <sheetViews>
    <sheetView view="pageBreakPreview" zoomScaleNormal="100" zoomScaleSheetLayoutView="100" workbookViewId="0">
      <selection activeCell="C12" sqref="C12"/>
    </sheetView>
  </sheetViews>
  <sheetFormatPr defaultColWidth="9.109375" defaultRowHeight="13.2" x14ac:dyDescent="0.25"/>
  <cols>
    <col min="1" max="1" width="3.109375" style="116" customWidth="1"/>
    <col min="2" max="2" width="2.5546875" style="116" customWidth="1"/>
    <col min="3" max="3" width="173.33203125" style="116" customWidth="1"/>
    <col min="4" max="4" width="3" style="116" customWidth="1"/>
    <col min="5" max="16384" width="9.109375" style="116"/>
  </cols>
  <sheetData>
    <row r="1" spans="2:3" ht="10.5" customHeight="1" x14ac:dyDescent="0.25"/>
    <row r="2" spans="2:3" ht="21" x14ac:dyDescent="0.25">
      <c r="C2" s="101" t="s">
        <v>501</v>
      </c>
    </row>
    <row r="3" spans="2:3" ht="12" customHeight="1" x14ac:dyDescent="0.25">
      <c r="C3" s="101"/>
    </row>
    <row r="4" spans="2:3" ht="42" customHeight="1" x14ac:dyDescent="0.25">
      <c r="C4" s="116" t="s">
        <v>513</v>
      </c>
    </row>
    <row r="6" spans="2:3" s="137" customFormat="1" ht="15.6" x14ac:dyDescent="0.25">
      <c r="B6" s="136">
        <v>1</v>
      </c>
      <c r="C6" s="135" t="s">
        <v>504</v>
      </c>
    </row>
    <row r="7" spans="2:3" ht="13.5" customHeight="1" x14ac:dyDescent="0.25">
      <c r="C7" s="116" t="s">
        <v>514</v>
      </c>
    </row>
    <row r="8" spans="2:3" ht="13.5" customHeight="1" x14ac:dyDescent="0.25">
      <c r="C8" s="116" t="s">
        <v>517</v>
      </c>
    </row>
    <row r="9" spans="2:3" ht="14.25" customHeight="1" x14ac:dyDescent="0.25">
      <c r="C9" s="116" t="s">
        <v>518</v>
      </c>
    </row>
    <row r="10" spans="2:3" ht="26.4" x14ac:dyDescent="0.25">
      <c r="C10" s="116" t="s">
        <v>519</v>
      </c>
    </row>
    <row r="11" spans="2:3" ht="13.5" customHeight="1" x14ac:dyDescent="0.25">
      <c r="C11" s="116" t="s">
        <v>503</v>
      </c>
    </row>
    <row r="12" spans="2:3" ht="13.5" customHeight="1" x14ac:dyDescent="0.25"/>
    <row r="13" spans="2:3" s="137" customFormat="1" ht="15.6" x14ac:dyDescent="0.25">
      <c r="B13" s="135">
        <v>2</v>
      </c>
      <c r="C13" s="135" t="s">
        <v>505</v>
      </c>
    </row>
    <row r="14" spans="2:3" ht="26.4" x14ac:dyDescent="0.25">
      <c r="C14" s="116" t="s">
        <v>520</v>
      </c>
    </row>
    <row r="15" spans="2:3" ht="13.5" customHeight="1" x14ac:dyDescent="0.25">
      <c r="C15" s="117" t="s">
        <v>521</v>
      </c>
    </row>
    <row r="16" spans="2:3" ht="26.4" x14ac:dyDescent="0.25">
      <c r="C16" s="116" t="s">
        <v>522</v>
      </c>
    </row>
    <row r="17" spans="2:3" ht="13.5" customHeight="1" x14ac:dyDescent="0.25"/>
    <row r="18" spans="2:3" s="137" customFormat="1" ht="15.6" x14ac:dyDescent="0.25">
      <c r="B18" s="136">
        <v>3</v>
      </c>
      <c r="C18" s="135" t="s">
        <v>510</v>
      </c>
    </row>
    <row r="19" spans="2:3" ht="39.6" x14ac:dyDescent="0.25">
      <c r="C19" s="116" t="s">
        <v>523</v>
      </c>
    </row>
    <row r="20" spans="2:3" ht="26.4" x14ac:dyDescent="0.25">
      <c r="C20" s="116" t="s">
        <v>526</v>
      </c>
    </row>
    <row r="21" spans="2:3" ht="54.75" customHeight="1" x14ac:dyDescent="0.25">
      <c r="C21" s="116" t="s">
        <v>527</v>
      </c>
    </row>
    <row r="22" spans="2:3" ht="39.6" x14ac:dyDescent="0.25">
      <c r="C22" s="116" t="s">
        <v>529</v>
      </c>
    </row>
    <row r="23" spans="2:3" ht="30.75" customHeight="1" x14ac:dyDescent="0.25">
      <c r="C23" s="116" t="s">
        <v>528</v>
      </c>
    </row>
    <row r="24" spans="2:3" ht="13.5" customHeight="1" x14ac:dyDescent="0.25"/>
    <row r="25" spans="2:3" s="137" customFormat="1" ht="15.6" x14ac:dyDescent="0.25">
      <c r="B25" s="136">
        <v>4</v>
      </c>
      <c r="C25" s="135" t="s">
        <v>532</v>
      </c>
    </row>
    <row r="26" spans="2:3" ht="28.5" customHeight="1" x14ac:dyDescent="0.25">
      <c r="C26" s="132" t="s">
        <v>534</v>
      </c>
    </row>
    <row r="27" spans="2:3" ht="30" customHeight="1" x14ac:dyDescent="0.25">
      <c r="C27" s="116" t="s">
        <v>533</v>
      </c>
    </row>
    <row r="28" spans="2:3" ht="26.4" x14ac:dyDescent="0.25">
      <c r="C28" s="116" t="s">
        <v>535</v>
      </c>
    </row>
    <row r="29" spans="2:3" ht="13.5" customHeight="1" x14ac:dyDescent="0.25">
      <c r="C29" s="116" t="s">
        <v>536</v>
      </c>
    </row>
    <row r="30" spans="2:3" ht="13.5" customHeight="1" x14ac:dyDescent="0.25"/>
    <row r="31" spans="2:3" s="137" customFormat="1" ht="15.6" x14ac:dyDescent="0.25">
      <c r="B31" s="136">
        <v>5</v>
      </c>
      <c r="C31" s="135" t="s">
        <v>538</v>
      </c>
    </row>
    <row r="32" spans="2:3" ht="29.25" customHeight="1" x14ac:dyDescent="0.25">
      <c r="C32" s="116" t="s">
        <v>540</v>
      </c>
    </row>
    <row r="33" spans="2:3" ht="13.5" customHeight="1" x14ac:dyDescent="0.25">
      <c r="C33" s="116" t="s">
        <v>544</v>
      </c>
    </row>
    <row r="34" spans="2:3" ht="13.5" customHeight="1" x14ac:dyDescent="0.25">
      <c r="C34" s="116" t="s">
        <v>543</v>
      </c>
    </row>
    <row r="35" spans="2:3" ht="13.5" customHeight="1" x14ac:dyDescent="0.25"/>
    <row r="36" spans="2:3" s="137" customFormat="1" ht="15.6" x14ac:dyDescent="0.25">
      <c r="B36" s="136">
        <v>6</v>
      </c>
      <c r="C36" s="135" t="s">
        <v>542</v>
      </c>
    </row>
    <row r="37" spans="2:3" ht="13.5" customHeight="1" x14ac:dyDescent="0.25"/>
    <row r="38" spans="2:3" ht="13.5" customHeight="1" x14ac:dyDescent="0.25"/>
    <row r="39" spans="2:3" ht="13.5" customHeight="1" x14ac:dyDescent="0.25"/>
    <row r="40" spans="2:3" ht="13.5" customHeight="1" x14ac:dyDescent="0.25"/>
    <row r="41" spans="2:3" ht="13.5" customHeight="1" x14ac:dyDescent="0.25"/>
    <row r="42" spans="2:3" ht="13.5" customHeight="1" x14ac:dyDescent="0.25"/>
    <row r="43" spans="2:3" ht="13.5" customHeight="1" x14ac:dyDescent="0.25"/>
    <row r="44" spans="2:3" ht="13.5" customHeight="1" x14ac:dyDescent="0.25"/>
    <row r="45" spans="2:3" ht="13.5" customHeight="1" x14ac:dyDescent="0.25"/>
    <row r="46" spans="2:3" ht="13.5" customHeight="1" x14ac:dyDescent="0.25"/>
    <row r="47" spans="2:3" ht="13.5" customHeight="1" x14ac:dyDescent="0.25"/>
    <row r="48" spans="2:3"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sheetData>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AF374"/>
  <sheetViews>
    <sheetView zoomScaleNormal="100" workbookViewId="0">
      <pane xSplit="3" ySplit="5" topLeftCell="D174" activePane="bottomRight" state="frozen"/>
      <selection pane="topRight" activeCell="D1" sqref="D1"/>
      <selection pane="bottomLeft" activeCell="A7" sqref="A7"/>
      <selection pane="bottomRight" activeCell="L6" sqref="L6"/>
    </sheetView>
  </sheetViews>
  <sheetFormatPr defaultColWidth="8.88671875" defaultRowHeight="13.8" x14ac:dyDescent="0.3"/>
  <cols>
    <col min="1" max="1" width="3" style="2" customWidth="1"/>
    <col min="2" max="2" width="2.33203125" style="2" customWidth="1"/>
    <col min="3" max="3" width="36.88671875" style="2" bestFit="1" customWidth="1"/>
    <col min="4" max="4" width="2" style="2" customWidth="1"/>
    <col min="5" max="5" width="14.88671875" style="2" customWidth="1"/>
    <col min="6" max="6" width="11.109375" style="2" customWidth="1"/>
    <col min="7" max="7" width="3.109375" style="2" customWidth="1"/>
    <col min="8" max="8" width="11.88671875" style="2" customWidth="1"/>
    <col min="9" max="9" width="13.33203125" style="2" customWidth="1"/>
    <col min="10" max="10" width="3.5546875" style="2" customWidth="1"/>
    <col min="11" max="11" width="19.6640625" style="2" customWidth="1"/>
    <col min="12" max="12" width="10.5546875" style="14" customWidth="1"/>
    <col min="13" max="13" width="9.109375" style="2" bestFit="1" customWidth="1"/>
    <col min="14" max="14" width="18" style="14" customWidth="1"/>
    <col min="15" max="15" width="3.109375" style="14" customWidth="1"/>
    <col min="16" max="16" width="20.44140625" style="2" customWidth="1"/>
    <col min="17" max="17" width="12.44140625" style="2" hidden="1" customWidth="1"/>
    <col min="18" max="18" width="3.6640625" style="2" customWidth="1"/>
    <col min="19" max="19" width="9.109375" style="2" bestFit="1" customWidth="1"/>
    <col min="20" max="20" width="15.33203125" style="2" customWidth="1"/>
    <col min="21" max="21" width="2" style="2" customWidth="1"/>
    <col min="22" max="22" width="9.109375" style="2" bestFit="1" customWidth="1"/>
    <col min="23" max="23" width="13" style="2" customWidth="1"/>
    <col min="24" max="24" width="13.44140625" style="2" customWidth="1"/>
    <col min="25" max="25" width="3.6640625" style="2" customWidth="1"/>
    <col min="26" max="26" width="9.109375" style="2" hidden="1" customWidth="1"/>
    <col min="27" max="27" width="14.44140625" style="2" hidden="1" customWidth="1"/>
    <col min="28" max="28" width="2" style="2" hidden="1" customWidth="1"/>
    <col min="29" max="29" width="9.109375" style="2" hidden="1" customWidth="1"/>
    <col min="30" max="30" width="13" style="2" hidden="1" customWidth="1"/>
    <col min="31" max="31" width="13.44140625" style="2" hidden="1" customWidth="1"/>
    <col min="32" max="32" width="3" style="2" customWidth="1"/>
    <col min="33" max="33" width="8.88671875" style="2"/>
    <col min="34" max="40" width="23.6640625" style="2" customWidth="1"/>
    <col min="41" max="16384" width="8.88671875" style="2"/>
  </cols>
  <sheetData>
    <row r="1" spans="2:32" s="83" customFormat="1" ht="10.5" customHeight="1" x14ac:dyDescent="0.25"/>
    <row r="2" spans="2:32" s="83" customFormat="1" ht="21" x14ac:dyDescent="0.25">
      <c r="B2" s="266" t="s">
        <v>498</v>
      </c>
      <c r="C2" s="266"/>
      <c r="D2" s="266"/>
      <c r="E2" s="266"/>
      <c r="F2" s="266"/>
    </row>
    <row r="3" spans="2:32" s="83" customFormat="1" ht="12.75" customHeight="1" thickBot="1" x14ac:dyDescent="0.3"/>
    <row r="4" spans="2:32" ht="63.75" customHeight="1" thickBot="1" x14ac:dyDescent="0.35">
      <c r="B4" s="15"/>
      <c r="C4" s="16"/>
      <c r="D4" s="16"/>
      <c r="E4" s="263" t="s">
        <v>507</v>
      </c>
      <c r="F4" s="263"/>
      <c r="G4" s="16"/>
      <c r="H4" s="263" t="s">
        <v>506</v>
      </c>
      <c r="I4" s="263"/>
      <c r="J4" s="16"/>
      <c r="K4" s="263" t="s">
        <v>512</v>
      </c>
      <c r="L4" s="263"/>
      <c r="M4" s="263"/>
      <c r="N4" s="263"/>
      <c r="O4" s="35"/>
      <c r="P4" s="131" t="s">
        <v>531</v>
      </c>
      <c r="Q4" s="16"/>
      <c r="R4" s="16"/>
      <c r="S4" s="267" t="s">
        <v>537</v>
      </c>
      <c r="T4" s="268"/>
      <c r="U4" s="16"/>
      <c r="V4" s="263" t="s">
        <v>541</v>
      </c>
      <c r="W4" s="264"/>
      <c r="X4" s="264"/>
      <c r="Y4" s="16"/>
      <c r="Z4" s="110" t="s">
        <v>530</v>
      </c>
      <c r="AA4" s="110"/>
      <c r="AB4" s="16"/>
      <c r="AC4" s="16"/>
      <c r="AD4" s="16"/>
      <c r="AE4" s="16"/>
      <c r="AF4" s="17"/>
    </row>
    <row r="5" spans="2:32" ht="97.2" thickBot="1" x14ac:dyDescent="0.35">
      <c r="B5" s="18"/>
      <c r="C5" s="19" t="s">
        <v>35</v>
      </c>
      <c r="D5" s="5"/>
      <c r="E5" s="36" t="s">
        <v>27</v>
      </c>
      <c r="F5" s="36" t="s">
        <v>502</v>
      </c>
      <c r="G5" s="9"/>
      <c r="H5" s="36" t="s">
        <v>36</v>
      </c>
      <c r="I5" s="36" t="s">
        <v>509</v>
      </c>
      <c r="J5" s="120"/>
      <c r="K5" s="36" t="s">
        <v>408</v>
      </c>
      <c r="L5" s="49" t="s">
        <v>28</v>
      </c>
      <c r="M5" s="36" t="s">
        <v>516</v>
      </c>
      <c r="N5" s="36" t="s">
        <v>511</v>
      </c>
      <c r="O5" s="120"/>
      <c r="P5" s="36" t="s">
        <v>405</v>
      </c>
      <c r="Q5" s="57" t="s">
        <v>410</v>
      </c>
      <c r="R5" s="67"/>
      <c r="S5" s="36" t="s">
        <v>499</v>
      </c>
      <c r="T5" s="36" t="s">
        <v>539</v>
      </c>
      <c r="U5" s="9"/>
      <c r="V5" s="36" t="s">
        <v>33</v>
      </c>
      <c r="W5" s="36" t="s">
        <v>34</v>
      </c>
      <c r="X5" s="70" t="s">
        <v>32</v>
      </c>
      <c r="Y5" s="6"/>
      <c r="Z5" s="71" t="s">
        <v>29</v>
      </c>
      <c r="AA5" s="36" t="s">
        <v>30</v>
      </c>
      <c r="AB5" s="9"/>
      <c r="AC5" s="36" t="s">
        <v>33</v>
      </c>
      <c r="AD5" s="36" t="s">
        <v>34</v>
      </c>
      <c r="AE5" s="36" t="s">
        <v>32</v>
      </c>
      <c r="AF5" s="20"/>
    </row>
    <row r="6" spans="2:32" x14ac:dyDescent="0.3">
      <c r="B6" s="18"/>
      <c r="C6" s="21" t="s">
        <v>1</v>
      </c>
      <c r="D6" s="7"/>
      <c r="E6" s="114">
        <f>'PPS Data'!C9/Calculator!$D$6</f>
        <v>0.2062664303268511</v>
      </c>
      <c r="F6" s="37">
        <f>E6*Calculator!$D$7</f>
        <v>0</v>
      </c>
      <c r="G6" s="3"/>
      <c r="H6" s="38">
        <f>IF('PPS Data'!D9&gt;0,F6/'PPS Data'!D9,0)</f>
        <v>0</v>
      </c>
      <c r="I6" s="38">
        <f>H6*'PPS Data'!G9+H6</f>
        <v>0</v>
      </c>
      <c r="J6" s="42"/>
      <c r="K6" s="27">
        <f>I6/2</f>
        <v>0</v>
      </c>
      <c r="L6" s="50">
        <f>H6/1</f>
        <v>0</v>
      </c>
      <c r="M6" s="39">
        <f>'PPS Data'!F9</f>
        <v>1</v>
      </c>
      <c r="N6" s="27">
        <f t="shared" ref="N6:N13" si="0">K6*M6</f>
        <v>0</v>
      </c>
      <c r="O6" s="42"/>
      <c r="P6" s="130">
        <f>N6</f>
        <v>0</v>
      </c>
      <c r="Q6" s="127">
        <f>ROUNDUP(P6:P7,0)</f>
        <v>0</v>
      </c>
      <c r="R6" s="59"/>
      <c r="S6" s="61">
        <v>85000</v>
      </c>
      <c r="T6" s="61">
        <f>SUM(P6:P7)*S6</f>
        <v>0</v>
      </c>
      <c r="U6" s="3"/>
      <c r="V6" s="61">
        <f>T6/100*4.4</f>
        <v>0</v>
      </c>
      <c r="W6" s="61">
        <f>T6/100*16.7</f>
        <v>0</v>
      </c>
      <c r="X6" s="61">
        <f>SUM(V6:W6)</f>
        <v>0</v>
      </c>
      <c r="Y6" s="4"/>
      <c r="Z6" s="61">
        <v>85000</v>
      </c>
      <c r="AA6" s="61">
        <f>Q6*Z6</f>
        <v>0</v>
      </c>
      <c r="AB6" s="3"/>
      <c r="AC6" s="61">
        <f>AA6/100*4.4</f>
        <v>0</v>
      </c>
      <c r="AD6" s="61">
        <f>AA6/100*16.7</f>
        <v>0</v>
      </c>
      <c r="AE6" s="61">
        <f>SUM(AC6:AD6)</f>
        <v>0</v>
      </c>
      <c r="AF6" s="20"/>
    </row>
    <row r="7" spans="2:32" x14ac:dyDescent="0.3">
      <c r="B7" s="18"/>
      <c r="C7" s="22" t="s">
        <v>2</v>
      </c>
      <c r="D7" s="7"/>
      <c r="E7" s="114">
        <f>'PPS Data'!C10/Calculator!$D$6</f>
        <v>0.2059667240390132</v>
      </c>
      <c r="F7" s="37">
        <f>E7*Calculator!$D$7</f>
        <v>0</v>
      </c>
      <c r="G7" s="3"/>
      <c r="H7" s="38">
        <f>IF('PPS Data'!D10&gt;0,F7/'PPS Data'!D10,0)</f>
        <v>0</v>
      </c>
      <c r="I7" s="38">
        <f>H7*'PPS Data'!G10+H7</f>
        <v>0</v>
      </c>
      <c r="J7" s="42"/>
      <c r="K7" s="41">
        <f t="shared" ref="K7:K31" si="1">I7/2</f>
        <v>0</v>
      </c>
      <c r="L7" s="50">
        <f t="shared" ref="L7:L31" si="2">H7/1</f>
        <v>0</v>
      </c>
      <c r="M7" s="39">
        <f>'PPS Data'!F10</f>
        <v>1</v>
      </c>
      <c r="N7" s="27">
        <f t="shared" si="0"/>
        <v>0</v>
      </c>
      <c r="O7" s="42"/>
      <c r="P7" s="27">
        <f t="shared" ref="P7:P13" si="3">N7</f>
        <v>0</v>
      </c>
      <c r="Q7" s="126"/>
      <c r="R7" s="59"/>
      <c r="S7" s="28"/>
      <c r="T7" s="28"/>
      <c r="U7" s="3"/>
      <c r="V7" s="68"/>
      <c r="W7" s="28"/>
      <c r="X7" s="69"/>
      <c r="Y7" s="4"/>
      <c r="Z7" s="28"/>
      <c r="AA7" s="28"/>
      <c r="AB7" s="3"/>
      <c r="AC7" s="68"/>
      <c r="AD7" s="28"/>
      <c r="AE7" s="69"/>
      <c r="AF7" s="20"/>
    </row>
    <row r="8" spans="2:32" x14ac:dyDescent="0.3">
      <c r="B8" s="18"/>
      <c r="C8" s="22" t="s">
        <v>3</v>
      </c>
      <c r="D8" s="7"/>
      <c r="E8" s="114">
        <f>'PPS Data'!C11/Calculator!$D$6</f>
        <v>2.0876683707109888E-2</v>
      </c>
      <c r="F8" s="37">
        <f>E8*Calculator!$D$7</f>
        <v>0</v>
      </c>
      <c r="G8" s="3"/>
      <c r="H8" s="38">
        <f>IF('PPS Data'!D11&gt;0,F8/'PPS Data'!D11,0)</f>
        <v>0</v>
      </c>
      <c r="I8" s="38">
        <f>H8*'PPS Data'!G11+H8</f>
        <v>0</v>
      </c>
      <c r="J8" s="42"/>
      <c r="K8" s="41">
        <f t="shared" si="1"/>
        <v>0</v>
      </c>
      <c r="L8" s="50">
        <f t="shared" si="2"/>
        <v>0</v>
      </c>
      <c r="M8" s="39">
        <f>'PPS Data'!F11</f>
        <v>1</v>
      </c>
      <c r="N8" s="27">
        <f t="shared" si="0"/>
        <v>0</v>
      </c>
      <c r="O8" s="42"/>
      <c r="P8" s="27">
        <f t="shared" si="3"/>
        <v>0</v>
      </c>
      <c r="Q8" s="127">
        <f>ROUNDUP(P8:P11,0)</f>
        <v>0</v>
      </c>
      <c r="R8" s="59"/>
      <c r="S8" s="61">
        <v>70000</v>
      </c>
      <c r="T8" s="61">
        <f>SUM(P8:P11)*S8</f>
        <v>0</v>
      </c>
      <c r="U8" s="3"/>
      <c r="V8" s="61">
        <f t="shared" ref="V8" si="4">T8/100*4</f>
        <v>0</v>
      </c>
      <c r="W8" s="61">
        <f t="shared" ref="W8" si="5">T8/100*17</f>
        <v>0</v>
      </c>
      <c r="X8" s="61">
        <f t="shared" ref="X8" si="6">SUM(V8:W8)</f>
        <v>0</v>
      </c>
      <c r="Y8" s="4"/>
      <c r="Z8" s="61">
        <v>70000</v>
      </c>
      <c r="AA8" s="61">
        <f>Q8*Z8</f>
        <v>0</v>
      </c>
      <c r="AB8" s="3"/>
      <c r="AC8" s="61">
        <f t="shared" ref="AC8:AC12" si="7">AA8/100*4</f>
        <v>0</v>
      </c>
      <c r="AD8" s="61">
        <f t="shared" ref="AD8:AD12" si="8">AA8/100*17</f>
        <v>0</v>
      </c>
      <c r="AE8" s="61">
        <f t="shared" ref="AE8:AE23" si="9">SUM(AC8:AD8)</f>
        <v>0</v>
      </c>
      <c r="AF8" s="20"/>
    </row>
    <row r="9" spans="2:32" x14ac:dyDescent="0.3">
      <c r="B9" s="18"/>
      <c r="C9" s="22" t="s">
        <v>4</v>
      </c>
      <c r="D9" s="7"/>
      <c r="E9" s="114">
        <f>'PPS Data'!C12/Calculator!$D$6</f>
        <v>2.1493222356376466E-2</v>
      </c>
      <c r="F9" s="37">
        <f>E9*Calculator!$D$7</f>
        <v>0</v>
      </c>
      <c r="G9" s="3"/>
      <c r="H9" s="38">
        <f>IF('PPS Data'!D12&gt;0,F9/'PPS Data'!D12,0)</f>
        <v>0</v>
      </c>
      <c r="I9" s="38">
        <f>H9*'PPS Data'!G12+H9</f>
        <v>0</v>
      </c>
      <c r="J9" s="42"/>
      <c r="K9" s="41">
        <f t="shared" si="1"/>
        <v>0</v>
      </c>
      <c r="L9" s="50">
        <f t="shared" si="2"/>
        <v>0</v>
      </c>
      <c r="M9" s="39">
        <f>'PPS Data'!F12</f>
        <v>1</v>
      </c>
      <c r="N9" s="27">
        <f t="shared" si="0"/>
        <v>0</v>
      </c>
      <c r="O9" s="42"/>
      <c r="P9" s="27">
        <f t="shared" si="3"/>
        <v>0</v>
      </c>
      <c r="Q9" s="125"/>
      <c r="R9" s="59"/>
      <c r="S9" s="61"/>
      <c r="T9" s="61"/>
      <c r="U9" s="3"/>
      <c r="V9" s="61"/>
      <c r="W9" s="61"/>
      <c r="X9" s="61"/>
      <c r="Y9" s="4"/>
      <c r="Z9" s="61"/>
      <c r="AA9" s="61"/>
      <c r="AB9" s="3"/>
      <c r="AC9" s="61"/>
      <c r="AD9" s="61"/>
      <c r="AE9" s="61"/>
      <c r="AF9" s="20"/>
    </row>
    <row r="10" spans="2:32" x14ac:dyDescent="0.3">
      <c r="B10" s="18"/>
      <c r="C10" s="22" t="s">
        <v>5</v>
      </c>
      <c r="D10" s="7"/>
      <c r="E10" s="114">
        <f>'PPS Data'!C13/Calculator!$D$6</f>
        <v>1.0224265933670717E-2</v>
      </c>
      <c r="F10" s="37">
        <f>E10*Calculator!$D$7</f>
        <v>0</v>
      </c>
      <c r="G10" s="3"/>
      <c r="H10" s="38">
        <f>IF('PPS Data'!D13&gt;0,F10/'PPS Data'!D13,0)</f>
        <v>0</v>
      </c>
      <c r="I10" s="38">
        <f>H10*'PPS Data'!G13+H10</f>
        <v>0</v>
      </c>
      <c r="J10" s="42"/>
      <c r="K10" s="41">
        <f t="shared" si="1"/>
        <v>0</v>
      </c>
      <c r="L10" s="50">
        <f t="shared" si="2"/>
        <v>0</v>
      </c>
      <c r="M10" s="39">
        <f>'PPS Data'!F13</f>
        <v>1</v>
      </c>
      <c r="N10" s="27">
        <f t="shared" si="0"/>
        <v>0</v>
      </c>
      <c r="O10" s="42"/>
      <c r="P10" s="41">
        <f t="shared" si="3"/>
        <v>0</v>
      </c>
      <c r="Q10" s="125"/>
      <c r="R10" s="59"/>
      <c r="S10" s="61"/>
      <c r="T10" s="61"/>
      <c r="U10" s="3"/>
      <c r="V10" s="61"/>
      <c r="W10" s="61"/>
      <c r="X10" s="61"/>
      <c r="Y10" s="4"/>
      <c r="Z10" s="61"/>
      <c r="AA10" s="61"/>
      <c r="AB10" s="3"/>
      <c r="AC10" s="61"/>
      <c r="AD10" s="61"/>
      <c r="AE10" s="61"/>
      <c r="AF10" s="20"/>
    </row>
    <row r="11" spans="2:32" x14ac:dyDescent="0.3">
      <c r="B11" s="18"/>
      <c r="C11" s="22" t="s">
        <v>6</v>
      </c>
      <c r="D11" s="7"/>
      <c r="E11" s="114">
        <f>'PPS Data'!C14/Calculator!$D$6</f>
        <v>9.8218032042883697E-3</v>
      </c>
      <c r="F11" s="37">
        <f>E11*Calculator!$D$7</f>
        <v>0</v>
      </c>
      <c r="G11" s="3"/>
      <c r="H11" s="38">
        <f>IF('PPS Data'!D14&gt;0,F11/'PPS Data'!D14,0)</f>
        <v>0</v>
      </c>
      <c r="I11" s="38">
        <f>H11*'PPS Data'!G14+H11</f>
        <v>0</v>
      </c>
      <c r="J11" s="42"/>
      <c r="K11" s="41">
        <f t="shared" si="1"/>
        <v>0</v>
      </c>
      <c r="L11" s="50">
        <f t="shared" si="2"/>
        <v>0</v>
      </c>
      <c r="M11" s="39">
        <f>'PPS Data'!F14</f>
        <v>1</v>
      </c>
      <c r="N11" s="27">
        <f t="shared" si="0"/>
        <v>0</v>
      </c>
      <c r="O11" s="42"/>
      <c r="P11" s="27">
        <f t="shared" si="3"/>
        <v>0</v>
      </c>
      <c r="Q11" s="126"/>
      <c r="R11" s="59"/>
      <c r="S11" s="28"/>
      <c r="T11" s="28"/>
      <c r="U11" s="3"/>
      <c r="V11" s="28"/>
      <c r="W11" s="28"/>
      <c r="X11" s="28"/>
      <c r="Y11" s="4"/>
      <c r="Z11" s="28"/>
      <c r="AA11" s="28"/>
      <c r="AB11" s="3"/>
      <c r="AC11" s="28"/>
      <c r="AD11" s="28"/>
      <c r="AE11" s="28"/>
      <c r="AF11" s="20"/>
    </row>
    <row r="12" spans="2:32" x14ac:dyDescent="0.3">
      <c r="B12" s="18"/>
      <c r="C12" s="23" t="s">
        <v>7</v>
      </c>
      <c r="D12" s="7"/>
      <c r="E12" s="114">
        <f>'PPS Data'!C15/Calculator!$D$6</f>
        <v>2.1553163613944049E-2</v>
      </c>
      <c r="F12" s="37">
        <f>E12*Calculator!$D$7</f>
        <v>0</v>
      </c>
      <c r="G12" s="3"/>
      <c r="H12" s="38">
        <f>IF('PPS Data'!D15&gt;0,F12/'PPS Data'!D15,0)</f>
        <v>0</v>
      </c>
      <c r="I12" s="38">
        <f>H12*'PPS Data'!G15+H12</f>
        <v>0</v>
      </c>
      <c r="J12" s="42"/>
      <c r="K12" s="41">
        <f t="shared" si="1"/>
        <v>0</v>
      </c>
      <c r="L12" s="50">
        <f t="shared" si="2"/>
        <v>0</v>
      </c>
      <c r="M12" s="39">
        <f>'PPS Data'!F15</f>
        <v>1</v>
      </c>
      <c r="N12" s="27">
        <f t="shared" si="0"/>
        <v>0</v>
      </c>
      <c r="O12" s="42"/>
      <c r="P12" s="27">
        <f t="shared" si="3"/>
        <v>0</v>
      </c>
      <c r="Q12" s="127">
        <f>ROUNDUP(P12:P13,0)</f>
        <v>0</v>
      </c>
      <c r="R12" s="59"/>
      <c r="S12" s="61">
        <v>20000</v>
      </c>
      <c r="T12" s="61">
        <f>SUM(P12:P13)*S12</f>
        <v>0</v>
      </c>
      <c r="U12" s="24"/>
      <c r="V12" s="61">
        <f t="shared" ref="V12" si="10">T12/100*4</f>
        <v>0</v>
      </c>
      <c r="W12" s="61">
        <f t="shared" ref="W12" si="11">T12/100*17</f>
        <v>0</v>
      </c>
      <c r="X12" s="61">
        <f t="shared" ref="X12" si="12">SUM(V12:W12)</f>
        <v>0</v>
      </c>
      <c r="Y12" s="4"/>
      <c r="Z12" s="61">
        <v>20000</v>
      </c>
      <c r="AA12" s="61">
        <f>Q12*Z12</f>
        <v>0</v>
      </c>
      <c r="AB12" s="24"/>
      <c r="AC12" s="61">
        <f t="shared" si="7"/>
        <v>0</v>
      </c>
      <c r="AD12" s="61">
        <f t="shared" si="8"/>
        <v>0</v>
      </c>
      <c r="AE12" s="61">
        <f t="shared" si="9"/>
        <v>0</v>
      </c>
      <c r="AF12" s="20"/>
    </row>
    <row r="13" spans="2:32" ht="14.4" thickBot="1" x14ac:dyDescent="0.35">
      <c r="B13" s="18"/>
      <c r="C13" s="25" t="s">
        <v>8</v>
      </c>
      <c r="D13" s="7"/>
      <c r="E13" s="115">
        <f>'PPS Data'!C16/Calculator!$D$6</f>
        <v>2.2135450116029149E-2</v>
      </c>
      <c r="F13" s="48">
        <f>E13*Calculator!$D$7</f>
        <v>0</v>
      </c>
      <c r="G13" s="24"/>
      <c r="H13" s="43">
        <f>IF('PPS Data'!D16&gt;0,F13/'PPS Data'!D16,0)</f>
        <v>0</v>
      </c>
      <c r="I13" s="44">
        <f>H13*'PPS Data'!G16+H13</f>
        <v>0</v>
      </c>
      <c r="J13" s="42"/>
      <c r="K13" s="43">
        <f t="shared" si="1"/>
        <v>0</v>
      </c>
      <c r="L13" s="51">
        <f t="shared" si="2"/>
        <v>0</v>
      </c>
      <c r="M13" s="45">
        <f>'PPS Data'!F16</f>
        <v>1</v>
      </c>
      <c r="N13" s="43">
        <f t="shared" si="0"/>
        <v>0</v>
      </c>
      <c r="O13" s="42"/>
      <c r="P13" s="43">
        <f t="shared" si="3"/>
        <v>0</v>
      </c>
      <c r="Q13" s="126"/>
      <c r="R13" s="59"/>
      <c r="S13" s="46"/>
      <c r="T13" s="46"/>
      <c r="U13" s="24"/>
      <c r="V13" s="46"/>
      <c r="W13" s="46"/>
      <c r="X13" s="46"/>
      <c r="Y13" s="4"/>
      <c r="Z13" s="46"/>
      <c r="AA13" s="46"/>
      <c r="AB13" s="24"/>
      <c r="AC13" s="46"/>
      <c r="AD13" s="46"/>
      <c r="AE13" s="46"/>
      <c r="AF13" s="20"/>
    </row>
    <row r="14" spans="2:32" x14ac:dyDescent="0.3">
      <c r="B14" s="18"/>
      <c r="C14" s="21" t="s">
        <v>9</v>
      </c>
      <c r="D14" s="7"/>
      <c r="E14" s="114">
        <f>'PPS Data'!C17/Calculator!$D$6</f>
        <v>0.26366446596621024</v>
      </c>
      <c r="F14" s="37">
        <f>E14*Calculator!$D$7</f>
        <v>0</v>
      </c>
      <c r="G14" s="24"/>
      <c r="H14" s="38">
        <f>IF('PPS Data'!D17&gt;0,F14/'PPS Data'!D17,0)</f>
        <v>0</v>
      </c>
      <c r="I14" s="38">
        <f>H14*'PPS Data'!G17+H14</f>
        <v>0</v>
      </c>
      <c r="J14" s="42"/>
      <c r="K14" s="27">
        <f>I14*10</f>
        <v>0</v>
      </c>
      <c r="L14" s="50">
        <f>H14/1</f>
        <v>0</v>
      </c>
      <c r="M14" s="53" t="str">
        <f>'PPS Data'!F17</f>
        <v>N/a</v>
      </c>
      <c r="N14" s="27">
        <f>K14</f>
        <v>0</v>
      </c>
      <c r="O14" s="42"/>
      <c r="P14" s="128">
        <f>N14/40</f>
        <v>0</v>
      </c>
      <c r="Q14" s="127">
        <f>ROUNDUP(P14:P17,0)</f>
        <v>0</v>
      </c>
      <c r="R14" s="59"/>
      <c r="S14" s="61">
        <v>265000</v>
      </c>
      <c r="T14" s="61">
        <f>SUM(P14:P17)*S14</f>
        <v>0</v>
      </c>
      <c r="U14" s="24"/>
      <c r="V14" s="61">
        <f>T14/100*4.9</f>
        <v>0</v>
      </c>
      <c r="W14" s="61">
        <f>T14/100*15.3</f>
        <v>0</v>
      </c>
      <c r="X14" s="61">
        <f t="shared" ref="X14" si="13">SUM(V14:W14)</f>
        <v>0</v>
      </c>
      <c r="Y14" s="4"/>
      <c r="Z14" s="61">
        <v>265000</v>
      </c>
      <c r="AA14" s="61">
        <f>Q14*Z14</f>
        <v>0</v>
      </c>
      <c r="AB14" s="24"/>
      <c r="AC14" s="61">
        <f>AA14/100*4.9</f>
        <v>0</v>
      </c>
      <c r="AD14" s="61">
        <f>AA14/100*15.3</f>
        <v>0</v>
      </c>
      <c r="AE14" s="61">
        <f t="shared" si="9"/>
        <v>0</v>
      </c>
      <c r="AF14" s="20"/>
    </row>
    <row r="15" spans="2:32" x14ac:dyDescent="0.3">
      <c r="B15" s="18"/>
      <c r="C15" s="22" t="s">
        <v>10</v>
      </c>
      <c r="D15" s="7"/>
      <c r="E15" s="114">
        <f>'PPS Data'!C18/Calculator!$D$6</f>
        <v>0.26254270814601688</v>
      </c>
      <c r="F15" s="37">
        <f>E15*Calculator!$D$7</f>
        <v>0</v>
      </c>
      <c r="G15" s="24"/>
      <c r="H15" s="38">
        <f>IF('PPS Data'!D18&gt;0,F15/'PPS Data'!D18,0)</f>
        <v>0</v>
      </c>
      <c r="I15" s="38">
        <f>H15*'PPS Data'!G18+H15</f>
        <v>0</v>
      </c>
      <c r="J15" s="42"/>
      <c r="K15" s="41">
        <f>I15*10</f>
        <v>0</v>
      </c>
      <c r="L15" s="50">
        <f t="shared" si="2"/>
        <v>0</v>
      </c>
      <c r="M15" s="53" t="str">
        <f>'PPS Data'!F18</f>
        <v>N/a</v>
      </c>
      <c r="N15" s="27">
        <f>K15</f>
        <v>0</v>
      </c>
      <c r="O15" s="42"/>
      <c r="P15" s="128">
        <f>N15/40</f>
        <v>0</v>
      </c>
      <c r="Q15" s="125"/>
      <c r="R15" s="59"/>
      <c r="S15" s="61"/>
      <c r="T15" s="61"/>
      <c r="U15" s="24"/>
      <c r="V15" s="61"/>
      <c r="W15" s="61"/>
      <c r="X15" s="61"/>
      <c r="Y15" s="4"/>
      <c r="Z15" s="61"/>
      <c r="AA15" s="61"/>
      <c r="AB15" s="24"/>
      <c r="AC15" s="61"/>
      <c r="AD15" s="61"/>
      <c r="AE15" s="61"/>
      <c r="AF15" s="20"/>
    </row>
    <row r="16" spans="2:32" x14ac:dyDescent="0.3">
      <c r="B16" s="18"/>
      <c r="C16" s="23" t="s">
        <v>11</v>
      </c>
      <c r="D16" s="7"/>
      <c r="E16" s="114">
        <f>'PPS Data'!C19/Calculator!$D$6</f>
        <v>6.5498668447778324E-2</v>
      </c>
      <c r="F16" s="37">
        <f>E16*Calculator!$D$7</f>
        <v>0</v>
      </c>
      <c r="G16" s="24"/>
      <c r="H16" s="38">
        <f>IF('PPS Data'!D19&gt;0,F16/'PPS Data'!D19,0)</f>
        <v>0</v>
      </c>
      <c r="I16" s="38">
        <f>H16*'PPS Data'!G19+H16</f>
        <v>0</v>
      </c>
      <c r="J16" s="42"/>
      <c r="K16" s="41">
        <f>I16*8</f>
        <v>0</v>
      </c>
      <c r="L16" s="50">
        <f t="shared" si="2"/>
        <v>0</v>
      </c>
      <c r="M16" s="53" t="str">
        <f>'PPS Data'!F19</f>
        <v>N/a</v>
      </c>
      <c r="N16" s="27">
        <f>K16</f>
        <v>0</v>
      </c>
      <c r="O16" s="42"/>
      <c r="P16" s="128">
        <f>N16/56</f>
        <v>0</v>
      </c>
      <c r="Q16" s="125"/>
      <c r="R16" s="59"/>
      <c r="S16" s="72"/>
      <c r="T16" s="61"/>
      <c r="U16" s="24"/>
      <c r="V16" s="61"/>
      <c r="W16" s="61"/>
      <c r="X16" s="61"/>
      <c r="Y16" s="4"/>
      <c r="Z16" s="61"/>
      <c r="AA16" s="61"/>
      <c r="AB16" s="24"/>
      <c r="AC16" s="61"/>
      <c r="AD16" s="61"/>
      <c r="AE16" s="61"/>
      <c r="AF16" s="20"/>
    </row>
    <row r="17" spans="2:32" ht="14.4" thickBot="1" x14ac:dyDescent="0.35">
      <c r="B17" s="18"/>
      <c r="C17" s="25" t="s">
        <v>12</v>
      </c>
      <c r="D17" s="7"/>
      <c r="E17" s="115">
        <f>'PPS Data'!C20/Calculator!$D$6</f>
        <v>6.6038139765886572E-2</v>
      </c>
      <c r="F17" s="48">
        <f>E17*Calculator!$D$7</f>
        <v>0</v>
      </c>
      <c r="G17" s="24"/>
      <c r="H17" s="43">
        <f>IF('PPS Data'!D20&gt;0,F17/'PPS Data'!D20,0)</f>
        <v>0</v>
      </c>
      <c r="I17" s="44">
        <f>H17*'PPS Data'!G20+H17</f>
        <v>0</v>
      </c>
      <c r="J17" s="42"/>
      <c r="K17" s="43">
        <f>I17*8</f>
        <v>0</v>
      </c>
      <c r="L17" s="51">
        <f t="shared" si="2"/>
        <v>0</v>
      </c>
      <c r="M17" s="54" t="str">
        <f>'PPS Data'!F20</f>
        <v>N/a</v>
      </c>
      <c r="N17" s="43">
        <f>K17</f>
        <v>0</v>
      </c>
      <c r="O17" s="42"/>
      <c r="P17" s="129">
        <f>N17/56</f>
        <v>0</v>
      </c>
      <c r="Q17" s="126"/>
      <c r="R17" s="59"/>
      <c r="S17" s="46"/>
      <c r="T17" s="46"/>
      <c r="U17" s="24"/>
      <c r="V17" s="46"/>
      <c r="W17" s="46"/>
      <c r="X17" s="46"/>
      <c r="Y17" s="4"/>
      <c r="Z17" s="46"/>
      <c r="AA17" s="46"/>
      <c r="AB17" s="24"/>
      <c r="AC17" s="46"/>
      <c r="AD17" s="46"/>
      <c r="AE17" s="46"/>
      <c r="AF17" s="20"/>
    </row>
    <row r="18" spans="2:32" x14ac:dyDescent="0.3">
      <c r="B18" s="18"/>
      <c r="C18" s="21" t="s">
        <v>13</v>
      </c>
      <c r="D18" s="7"/>
      <c r="E18" s="114">
        <f>'PPS Data'!C21/Calculator!$D$6</f>
        <v>0.18848100290286948</v>
      </c>
      <c r="F18" s="37">
        <f>E18*Calculator!$D$7</f>
        <v>0</v>
      </c>
      <c r="G18" s="24"/>
      <c r="H18" s="38">
        <f>IF('PPS Data'!D21&gt;0,F18/'PPS Data'!D21,0)</f>
        <v>0</v>
      </c>
      <c r="I18" s="38">
        <f>H18*'PPS Data'!G21+H18</f>
        <v>0</v>
      </c>
      <c r="J18" s="42"/>
      <c r="K18" s="27">
        <f t="shared" si="1"/>
        <v>0</v>
      </c>
      <c r="L18" s="50">
        <f t="shared" si="2"/>
        <v>0</v>
      </c>
      <c r="M18" s="39">
        <f>'PPS Data'!F21</f>
        <v>1</v>
      </c>
      <c r="N18" s="27">
        <f>K18*M18</f>
        <v>0</v>
      </c>
      <c r="O18" s="42"/>
      <c r="P18" s="27">
        <f>N18</f>
        <v>0</v>
      </c>
      <c r="Q18" s="127">
        <f>ROUNDUP(P18:P22,0)</f>
        <v>0</v>
      </c>
      <c r="R18" s="59"/>
      <c r="S18" s="61">
        <v>115000</v>
      </c>
      <c r="T18" s="61">
        <f>SUM(P18:P22)*S18</f>
        <v>0</v>
      </c>
      <c r="U18" s="24"/>
      <c r="V18" s="61">
        <f>T18/100*4.7</f>
        <v>0</v>
      </c>
      <c r="W18" s="61">
        <f>T18/100*16.7</f>
        <v>0</v>
      </c>
      <c r="X18" s="61">
        <f t="shared" ref="X18" si="14">SUM(V18:W18)</f>
        <v>0</v>
      </c>
      <c r="Y18" s="4"/>
      <c r="Z18" s="61">
        <v>115000</v>
      </c>
      <c r="AA18" s="61">
        <f>Q18*Z18</f>
        <v>0</v>
      </c>
      <c r="AB18" s="24"/>
      <c r="AC18" s="61">
        <f>AA18/100*4.7</f>
        <v>0</v>
      </c>
      <c r="AD18" s="61">
        <f>AA18/100*16.7</f>
        <v>0</v>
      </c>
      <c r="AE18" s="61">
        <f t="shared" si="9"/>
        <v>0</v>
      </c>
      <c r="AF18" s="20"/>
    </row>
    <row r="19" spans="2:32" x14ac:dyDescent="0.3">
      <c r="B19" s="18"/>
      <c r="C19" s="22" t="s">
        <v>14</v>
      </c>
      <c r="D19" s="7"/>
      <c r="E19" s="114">
        <f>'PPS Data'!C22/Calculator!$D$6</f>
        <v>0.18718798434676873</v>
      </c>
      <c r="F19" s="37">
        <f>E19*Calculator!$D$7</f>
        <v>0</v>
      </c>
      <c r="G19" s="24"/>
      <c r="H19" s="38">
        <f>IF('PPS Data'!D22&gt;0,F19/'PPS Data'!D22,0)</f>
        <v>0</v>
      </c>
      <c r="I19" s="38">
        <f>H19*'PPS Data'!G22+H19</f>
        <v>0</v>
      </c>
      <c r="J19" s="42"/>
      <c r="K19" s="41">
        <f t="shared" si="1"/>
        <v>0</v>
      </c>
      <c r="L19" s="50">
        <f t="shared" si="2"/>
        <v>0</v>
      </c>
      <c r="M19" s="39">
        <f>'PPS Data'!F22</f>
        <v>1</v>
      </c>
      <c r="N19" s="27">
        <f>K19*M19</f>
        <v>0</v>
      </c>
      <c r="O19" s="42"/>
      <c r="P19" s="27">
        <f t="shared" ref="P19:P22" si="15">N19</f>
        <v>0</v>
      </c>
      <c r="Q19" s="125"/>
      <c r="R19" s="59"/>
      <c r="S19" s="61"/>
      <c r="T19" s="61"/>
      <c r="U19" s="24"/>
      <c r="V19" s="61"/>
      <c r="W19" s="61"/>
      <c r="X19" s="61"/>
      <c r="Y19" s="4"/>
      <c r="Z19" s="61"/>
      <c r="AA19" s="61"/>
      <c r="AB19" s="24"/>
      <c r="AC19" s="61"/>
      <c r="AD19" s="61"/>
      <c r="AE19" s="61"/>
      <c r="AF19" s="20"/>
    </row>
    <row r="20" spans="2:32" x14ac:dyDescent="0.3">
      <c r="B20" s="18"/>
      <c r="C20" s="22" t="s">
        <v>15</v>
      </c>
      <c r="D20" s="7"/>
      <c r="E20" s="114">
        <f>'PPS Data'!C23/Calculator!$D$6</f>
        <v>3.3507162980279323E-2</v>
      </c>
      <c r="F20" s="37">
        <f>E20*Calculator!$D$7</f>
        <v>0</v>
      </c>
      <c r="G20" s="24"/>
      <c r="H20" s="38">
        <f>IF('PPS Data'!D23&gt;0,F20/'PPS Data'!D23,0)</f>
        <v>0</v>
      </c>
      <c r="I20" s="38">
        <f>H20*'PPS Data'!G23+H20</f>
        <v>0</v>
      </c>
      <c r="J20" s="42"/>
      <c r="K20" s="41">
        <f t="shared" si="1"/>
        <v>0</v>
      </c>
      <c r="L20" s="50">
        <f t="shared" si="2"/>
        <v>0</v>
      </c>
      <c r="M20" s="39">
        <f>'PPS Data'!F23</f>
        <v>1</v>
      </c>
      <c r="N20" s="27">
        <f>K20*M20</f>
        <v>0</v>
      </c>
      <c r="O20" s="42"/>
      <c r="P20" s="27">
        <f t="shared" si="15"/>
        <v>0</v>
      </c>
      <c r="Q20" s="125"/>
      <c r="R20" s="59"/>
      <c r="S20" s="61"/>
      <c r="T20" s="61"/>
      <c r="U20" s="24"/>
      <c r="V20" s="61"/>
      <c r="W20" s="61"/>
      <c r="X20" s="61"/>
      <c r="Y20" s="4"/>
      <c r="Z20" s="61"/>
      <c r="AA20" s="61"/>
      <c r="AB20" s="24"/>
      <c r="AC20" s="61"/>
      <c r="AD20" s="61"/>
      <c r="AE20" s="61"/>
      <c r="AF20" s="20"/>
    </row>
    <row r="21" spans="2:32" x14ac:dyDescent="0.3">
      <c r="B21" s="18"/>
      <c r="C21" s="23" t="s">
        <v>16</v>
      </c>
      <c r="D21" s="7"/>
      <c r="E21" s="114">
        <f>'PPS Data'!C24/Calculator!$D$6</f>
        <v>3.4714551168426373E-2</v>
      </c>
      <c r="F21" s="37">
        <f>E21*Calculator!$D$7</f>
        <v>0</v>
      </c>
      <c r="G21" s="24"/>
      <c r="H21" s="38">
        <f>IF('PPS Data'!D24&gt;0,F21/'PPS Data'!D24,0)</f>
        <v>0</v>
      </c>
      <c r="I21" s="38">
        <f>H21*'PPS Data'!G24+H21</f>
        <v>0</v>
      </c>
      <c r="J21" s="42"/>
      <c r="K21" s="41">
        <f t="shared" si="1"/>
        <v>0</v>
      </c>
      <c r="L21" s="50">
        <f t="shared" si="2"/>
        <v>0</v>
      </c>
      <c r="M21" s="39">
        <f>'PPS Data'!F24</f>
        <v>1</v>
      </c>
      <c r="N21" s="27">
        <f>K21*M21</f>
        <v>0</v>
      </c>
      <c r="O21" s="42"/>
      <c r="P21" s="27">
        <f t="shared" si="15"/>
        <v>0</v>
      </c>
      <c r="Q21" s="125"/>
      <c r="R21" s="59"/>
      <c r="S21" s="61"/>
      <c r="T21" s="61"/>
      <c r="U21" s="24"/>
      <c r="V21" s="61"/>
      <c r="W21" s="61"/>
      <c r="X21" s="61"/>
      <c r="Y21" s="4"/>
      <c r="Z21" s="61"/>
      <c r="AA21" s="61"/>
      <c r="AB21" s="24"/>
      <c r="AC21" s="61"/>
      <c r="AD21" s="61"/>
      <c r="AE21" s="61"/>
      <c r="AF21" s="20"/>
    </row>
    <row r="22" spans="2:32" ht="14.4" thickBot="1" x14ac:dyDescent="0.35">
      <c r="B22" s="18"/>
      <c r="C22" s="25" t="s">
        <v>17</v>
      </c>
      <c r="D22" s="7"/>
      <c r="E22" s="115">
        <f>'PPS Data'!C25/Calculator!$D$6</f>
        <v>6.3315094064959193E-2</v>
      </c>
      <c r="F22" s="48">
        <f>E22*Calculator!$D$7</f>
        <v>0</v>
      </c>
      <c r="G22" s="24"/>
      <c r="H22" s="43">
        <f>IF('PPS Data'!D25&gt;0,F22/'PPS Data'!D25,0)</f>
        <v>0</v>
      </c>
      <c r="I22" s="44">
        <f>H22*'PPS Data'!G25+H22</f>
        <v>0</v>
      </c>
      <c r="J22" s="42"/>
      <c r="K22" s="43">
        <f t="shared" si="1"/>
        <v>0</v>
      </c>
      <c r="L22" s="51">
        <f t="shared" si="2"/>
        <v>0</v>
      </c>
      <c r="M22" s="45">
        <f>'PPS Data'!F25</f>
        <v>1</v>
      </c>
      <c r="N22" s="43">
        <f>SUM(K22*M22)/4</f>
        <v>0</v>
      </c>
      <c r="O22" s="42"/>
      <c r="P22" s="43">
        <f t="shared" si="15"/>
        <v>0</v>
      </c>
      <c r="Q22" s="126"/>
      <c r="R22" s="59"/>
      <c r="S22" s="46"/>
      <c r="T22" s="46"/>
      <c r="U22" s="24"/>
      <c r="V22" s="46"/>
      <c r="W22" s="46"/>
      <c r="X22" s="46"/>
      <c r="Y22" s="4"/>
      <c r="Z22" s="46"/>
      <c r="AA22" s="46"/>
      <c r="AB22" s="24"/>
      <c r="AC22" s="46"/>
      <c r="AD22" s="46"/>
      <c r="AE22" s="46"/>
      <c r="AF22" s="20"/>
    </row>
    <row r="23" spans="2:32" x14ac:dyDescent="0.3">
      <c r="B23" s="18"/>
      <c r="C23" s="21" t="s">
        <v>18</v>
      </c>
      <c r="D23" s="7"/>
      <c r="E23" s="114">
        <f>'PPS Data'!C26/Calculator!$D$6</f>
        <v>0.18848100290286948</v>
      </c>
      <c r="F23" s="37">
        <f>E23*Calculator!$D$7</f>
        <v>0</v>
      </c>
      <c r="G23" s="24"/>
      <c r="H23" s="38">
        <f>IF('PPS Data'!D26&gt;0,F23/'PPS Data'!D26,0)</f>
        <v>0</v>
      </c>
      <c r="I23" s="38">
        <f>H23*'PPS Data'!G26+H23</f>
        <v>0</v>
      </c>
      <c r="J23" s="42"/>
      <c r="K23" s="27">
        <f t="shared" si="1"/>
        <v>0</v>
      </c>
      <c r="L23" s="50">
        <f t="shared" si="2"/>
        <v>0</v>
      </c>
      <c r="M23" s="39">
        <f>'PPS Data'!F26</f>
        <v>1</v>
      </c>
      <c r="N23" s="27">
        <f>K23*M23</f>
        <v>0</v>
      </c>
      <c r="O23" s="42"/>
      <c r="P23" s="27">
        <f>N23</f>
        <v>0</v>
      </c>
      <c r="Q23" s="127">
        <f>ROUNDUP(P23:P27,0)</f>
        <v>0</v>
      </c>
      <c r="R23" s="59"/>
      <c r="S23" s="61">
        <v>100000</v>
      </c>
      <c r="T23" s="61">
        <f>SUM(P23:P27)*S23</f>
        <v>0</v>
      </c>
      <c r="U23" s="24"/>
      <c r="V23" s="61">
        <f>T23/100*4.6</f>
        <v>0</v>
      </c>
      <c r="W23" s="61">
        <f>T23/100*17.5</f>
        <v>0</v>
      </c>
      <c r="X23" s="61">
        <f t="shared" ref="X23" si="16">SUM(V23:W23)</f>
        <v>0</v>
      </c>
      <c r="Y23" s="4"/>
      <c r="Z23" s="61">
        <v>100000</v>
      </c>
      <c r="AA23" s="61">
        <f>Q23*Z23</f>
        <v>0</v>
      </c>
      <c r="AB23" s="24"/>
      <c r="AC23" s="61">
        <f>AA23/100*4.6</f>
        <v>0</v>
      </c>
      <c r="AD23" s="61">
        <f>AA23/100*17.5</f>
        <v>0</v>
      </c>
      <c r="AE23" s="61">
        <f t="shared" si="9"/>
        <v>0</v>
      </c>
      <c r="AF23" s="20"/>
    </row>
    <row r="24" spans="2:32" x14ac:dyDescent="0.3">
      <c r="B24" s="18"/>
      <c r="C24" s="22" t="s">
        <v>19</v>
      </c>
      <c r="D24" s="7"/>
      <c r="E24" s="114">
        <f>'PPS Data'!C27/Calculator!$D$6</f>
        <v>0.18718798434676873</v>
      </c>
      <c r="F24" s="37">
        <f>E24*Calculator!$D$7</f>
        <v>0</v>
      </c>
      <c r="G24" s="24"/>
      <c r="H24" s="38">
        <f>IF('PPS Data'!D27&gt;0,F24/'PPS Data'!D27,0)</f>
        <v>0</v>
      </c>
      <c r="I24" s="38">
        <f>H24*'PPS Data'!G27+H24</f>
        <v>0</v>
      </c>
      <c r="J24" s="42"/>
      <c r="K24" s="41">
        <f t="shared" si="1"/>
        <v>0</v>
      </c>
      <c r="L24" s="50">
        <f t="shared" si="2"/>
        <v>0</v>
      </c>
      <c r="M24" s="39">
        <f>'PPS Data'!F27</f>
        <v>1</v>
      </c>
      <c r="N24" s="27">
        <f>K24*M24</f>
        <v>0</v>
      </c>
      <c r="O24" s="42"/>
      <c r="P24" s="27">
        <f t="shared" ref="P24:P27" si="17">N24</f>
        <v>0</v>
      </c>
      <c r="Q24" s="125"/>
      <c r="R24" s="59"/>
      <c r="S24" s="61"/>
      <c r="T24" s="61"/>
      <c r="U24" s="24"/>
      <c r="V24" s="61"/>
      <c r="W24" s="61"/>
      <c r="X24" s="61"/>
      <c r="Y24" s="4"/>
      <c r="Z24" s="61"/>
      <c r="AA24" s="61"/>
      <c r="AB24" s="24"/>
      <c r="AC24" s="61"/>
      <c r="AD24" s="61"/>
      <c r="AE24" s="61"/>
      <c r="AF24" s="20"/>
    </row>
    <row r="25" spans="2:32" x14ac:dyDescent="0.3">
      <c r="B25" s="18"/>
      <c r="C25" s="22" t="s">
        <v>20</v>
      </c>
      <c r="D25" s="7"/>
      <c r="E25" s="114">
        <f>'PPS Data'!C28/Calculator!$D$6</f>
        <v>3.8662111131091532E-2</v>
      </c>
      <c r="F25" s="37">
        <f>E25*Calculator!$D$7</f>
        <v>0</v>
      </c>
      <c r="G25" s="24"/>
      <c r="H25" s="38">
        <f>IF('PPS Data'!D28&gt;0,F25/'PPS Data'!D28,0)</f>
        <v>0</v>
      </c>
      <c r="I25" s="38">
        <f>H25*'PPS Data'!G28+H25</f>
        <v>0</v>
      </c>
      <c r="J25" s="42"/>
      <c r="K25" s="41">
        <f t="shared" si="1"/>
        <v>0</v>
      </c>
      <c r="L25" s="50">
        <f t="shared" si="2"/>
        <v>0</v>
      </c>
      <c r="M25" s="39">
        <f>'PPS Data'!F28</f>
        <v>1</v>
      </c>
      <c r="N25" s="27">
        <f>K25*M25</f>
        <v>0</v>
      </c>
      <c r="O25" s="42"/>
      <c r="P25" s="27">
        <f t="shared" si="17"/>
        <v>0</v>
      </c>
      <c r="Q25" s="125"/>
      <c r="R25" s="59"/>
      <c r="S25" s="61"/>
      <c r="T25" s="61"/>
      <c r="U25" s="24"/>
      <c r="V25" s="61"/>
      <c r="W25" s="61"/>
      <c r="X25" s="61"/>
      <c r="Y25" s="4"/>
      <c r="Z25" s="61"/>
      <c r="AA25" s="61"/>
      <c r="AB25" s="24"/>
      <c r="AC25" s="61"/>
      <c r="AD25" s="61"/>
      <c r="AE25" s="61"/>
      <c r="AF25" s="20"/>
    </row>
    <row r="26" spans="2:32" x14ac:dyDescent="0.3">
      <c r="B26" s="18"/>
      <c r="C26" s="23" t="s">
        <v>21</v>
      </c>
      <c r="D26" s="7"/>
      <c r="E26" s="114">
        <f>'PPS Data'!C29/Calculator!$D$6</f>
        <v>4.0271962048620921E-2</v>
      </c>
      <c r="F26" s="37">
        <f>E26*Calculator!$D$7</f>
        <v>0</v>
      </c>
      <c r="G26" s="24"/>
      <c r="H26" s="38">
        <f>IF('PPS Data'!D29&gt;0,F26/'PPS Data'!D29,0)</f>
        <v>0</v>
      </c>
      <c r="I26" s="38">
        <f>H26*'PPS Data'!G29+H26</f>
        <v>0</v>
      </c>
      <c r="J26" s="42"/>
      <c r="K26" s="41">
        <f t="shared" si="1"/>
        <v>0</v>
      </c>
      <c r="L26" s="50">
        <f t="shared" si="2"/>
        <v>0</v>
      </c>
      <c r="M26" s="39">
        <f>'PPS Data'!F29</f>
        <v>1</v>
      </c>
      <c r="N26" s="27">
        <f>K26*M26</f>
        <v>0</v>
      </c>
      <c r="O26" s="42"/>
      <c r="P26" s="27">
        <f t="shared" si="17"/>
        <v>0</v>
      </c>
      <c r="Q26" s="125"/>
      <c r="R26" s="59"/>
      <c r="S26" s="61"/>
      <c r="T26" s="61"/>
      <c r="U26" s="24"/>
      <c r="V26" s="61"/>
      <c r="W26" s="61"/>
      <c r="X26" s="61"/>
      <c r="Y26" s="4"/>
      <c r="Z26" s="61"/>
      <c r="AA26" s="61"/>
      <c r="AB26" s="24"/>
      <c r="AC26" s="61"/>
      <c r="AD26" s="61"/>
      <c r="AE26" s="61"/>
      <c r="AF26" s="20"/>
    </row>
    <row r="27" spans="2:32" ht="14.4" thickBot="1" x14ac:dyDescent="0.35">
      <c r="B27" s="18"/>
      <c r="C27" s="25" t="s">
        <v>22</v>
      </c>
      <c r="D27" s="7"/>
      <c r="E27" s="115">
        <f>'PPS Data'!C30/Calculator!$D$6</f>
        <v>5.2602735033952443E-2</v>
      </c>
      <c r="F27" s="48">
        <f>E27*Calculator!$D$7</f>
        <v>0</v>
      </c>
      <c r="G27" s="24"/>
      <c r="H27" s="43">
        <f>IF('PPS Data'!D30&gt;0,F27/'PPS Data'!D30,0)</f>
        <v>0</v>
      </c>
      <c r="I27" s="44">
        <f>H27*'PPS Data'!G30+H27</f>
        <v>0</v>
      </c>
      <c r="J27" s="42"/>
      <c r="K27" s="43">
        <f t="shared" si="1"/>
        <v>0</v>
      </c>
      <c r="L27" s="51">
        <f t="shared" si="2"/>
        <v>0</v>
      </c>
      <c r="M27" s="45">
        <f>'PPS Data'!F30</f>
        <v>1</v>
      </c>
      <c r="N27" s="43">
        <f>SUM(K27*M27)/4</f>
        <v>0</v>
      </c>
      <c r="O27" s="42"/>
      <c r="P27" s="118">
        <f t="shared" si="17"/>
        <v>0</v>
      </c>
      <c r="Q27" s="60"/>
      <c r="R27" s="59"/>
      <c r="S27" s="46"/>
      <c r="T27" s="46"/>
      <c r="U27" s="24"/>
      <c r="V27" s="46"/>
      <c r="W27" s="46"/>
      <c r="X27" s="46"/>
      <c r="Y27" s="4"/>
      <c r="Z27" s="46"/>
      <c r="AA27" s="46"/>
      <c r="AB27" s="24"/>
      <c r="AC27" s="46"/>
      <c r="AD27" s="46"/>
      <c r="AE27" s="46"/>
      <c r="AF27" s="20"/>
    </row>
    <row r="28" spans="2:32" x14ac:dyDescent="0.3">
      <c r="B28" s="18"/>
      <c r="C28" s="21" t="s">
        <v>23</v>
      </c>
      <c r="D28" s="7"/>
      <c r="E28" s="114">
        <f>'PPS Data'!C31/Calculator!$D$6</f>
        <v>0.27529306993432151</v>
      </c>
      <c r="F28" s="37">
        <f>E28*Calculator!$D$7</f>
        <v>0</v>
      </c>
      <c r="G28" s="24"/>
      <c r="H28" s="38">
        <f>IF('PPS Data'!D31&gt;0,F28/'PPS Data'!D31,0)</f>
        <v>0</v>
      </c>
      <c r="I28" s="38">
        <f>H28*'PPS Data'!G31+H28</f>
        <v>0</v>
      </c>
      <c r="J28" s="42"/>
      <c r="K28" s="27">
        <f t="shared" si="1"/>
        <v>0</v>
      </c>
      <c r="L28" s="50">
        <f t="shared" si="2"/>
        <v>0</v>
      </c>
      <c r="M28" s="39">
        <f>'PPS Data'!F31</f>
        <v>1</v>
      </c>
      <c r="N28" s="27">
        <f>K28*M28</f>
        <v>0</v>
      </c>
      <c r="O28" s="121"/>
      <c r="P28" s="27">
        <f>N28</f>
        <v>0</v>
      </c>
      <c r="Q28" s="124" t="e">
        <f>ROUNDUP(#REF!,0)</f>
        <v>#REF!</v>
      </c>
      <c r="R28" s="59"/>
      <c r="S28" s="28">
        <v>760000</v>
      </c>
      <c r="T28" s="28">
        <f>SUM(P28:P31)/4*S28</f>
        <v>0</v>
      </c>
      <c r="U28" s="24"/>
      <c r="V28" s="111">
        <f>T28/100*2.6</f>
        <v>0</v>
      </c>
      <c r="W28" s="111">
        <f>T28/100*0.5</f>
        <v>0</v>
      </c>
      <c r="X28" s="111">
        <f>SUM(V28:W28)</f>
        <v>0</v>
      </c>
      <c r="Y28" s="4"/>
      <c r="Z28" s="28">
        <v>760000</v>
      </c>
      <c r="AA28" s="28" t="e">
        <f>Q28*Z28</f>
        <v>#REF!</v>
      </c>
      <c r="AB28" s="24"/>
      <c r="AC28" s="113" t="e">
        <f>AA28/100*2.6</f>
        <v>#REF!</v>
      </c>
      <c r="AD28" s="113" t="e">
        <f>AA28/100*0.5</f>
        <v>#REF!</v>
      </c>
      <c r="AE28" s="113" t="e">
        <f>SUM(AC28:AD28)</f>
        <v>#REF!</v>
      </c>
      <c r="AF28" s="20"/>
    </row>
    <row r="29" spans="2:32" x14ac:dyDescent="0.3">
      <c r="B29" s="18"/>
      <c r="C29" s="22" t="s">
        <v>24</v>
      </c>
      <c r="D29" s="7"/>
      <c r="E29" s="114">
        <f>'PPS Data'!C32/Calculator!$D$6</f>
        <v>0.27459090091710125</v>
      </c>
      <c r="F29" s="37">
        <f>E29*Calculator!$D$7</f>
        <v>0</v>
      </c>
      <c r="G29" s="24"/>
      <c r="H29" s="38">
        <f>IF('PPS Data'!D32&gt;0,F29/'PPS Data'!D32,0)</f>
        <v>0</v>
      </c>
      <c r="I29" s="38">
        <f>H29*'PPS Data'!G32+H29</f>
        <v>0</v>
      </c>
      <c r="J29" s="42"/>
      <c r="K29" s="41">
        <f t="shared" si="1"/>
        <v>0</v>
      </c>
      <c r="L29" s="50">
        <f t="shared" si="2"/>
        <v>0</v>
      </c>
      <c r="M29" s="39">
        <f>'PPS Data'!F32</f>
        <v>1</v>
      </c>
      <c r="N29" s="27">
        <f>K29*M29</f>
        <v>0</v>
      </c>
      <c r="O29" s="121"/>
      <c r="P29" s="27">
        <f t="shared" ref="P29:P31" si="18">N29</f>
        <v>0</v>
      </c>
      <c r="Q29" s="40"/>
      <c r="R29" s="40"/>
      <c r="S29" s="62"/>
      <c r="T29" s="63"/>
      <c r="U29" s="3"/>
      <c r="V29" s="4"/>
      <c r="W29" s="4"/>
      <c r="X29" s="4"/>
      <c r="Y29" s="4"/>
      <c r="Z29" s="62"/>
      <c r="AA29" s="63"/>
      <c r="AB29" s="3"/>
      <c r="AC29" s="4"/>
      <c r="AD29" s="4"/>
      <c r="AE29" s="4"/>
      <c r="AF29" s="20"/>
    </row>
    <row r="30" spans="2:32" x14ac:dyDescent="0.3">
      <c r="B30" s="18"/>
      <c r="C30" s="23" t="s">
        <v>25</v>
      </c>
      <c r="D30" s="7"/>
      <c r="E30" s="114">
        <f>'PPS Data'!C33/Calculator!$D$6</f>
        <v>2.6348464219350751E-2</v>
      </c>
      <c r="F30" s="37">
        <f>E30*Calculator!$D$7</f>
        <v>0</v>
      </c>
      <c r="G30" s="24"/>
      <c r="H30" s="38">
        <f>IF('PPS Data'!D33&gt;0,F30/'PPS Data'!D33,0)</f>
        <v>0</v>
      </c>
      <c r="I30" s="38">
        <f>H30*'PPS Data'!G33+H30</f>
        <v>0</v>
      </c>
      <c r="J30" s="42"/>
      <c r="K30" s="41">
        <f t="shared" si="1"/>
        <v>0</v>
      </c>
      <c r="L30" s="50">
        <f t="shared" si="2"/>
        <v>0</v>
      </c>
      <c r="M30" s="39">
        <f>'PPS Data'!F33</f>
        <v>1</v>
      </c>
      <c r="N30" s="27">
        <f>K30*M30</f>
        <v>0</v>
      </c>
      <c r="O30" s="121"/>
      <c r="P30" s="27">
        <f t="shared" si="18"/>
        <v>0</v>
      </c>
      <c r="Q30" s="40"/>
      <c r="R30" s="40"/>
      <c r="S30" s="64"/>
      <c r="T30" s="4"/>
      <c r="U30" s="3"/>
      <c r="V30" s="4"/>
      <c r="W30" s="4"/>
      <c r="X30" s="4"/>
      <c r="Y30" s="4"/>
      <c r="Z30" s="64"/>
      <c r="AA30" s="4"/>
      <c r="AB30" s="3"/>
      <c r="AC30" s="4"/>
      <c r="AD30" s="4"/>
      <c r="AE30" s="4"/>
      <c r="AF30" s="20"/>
    </row>
    <row r="31" spans="2:32" ht="14.4" thickBot="1" x14ac:dyDescent="0.35">
      <c r="B31" s="18"/>
      <c r="C31" s="25" t="s">
        <v>26</v>
      </c>
      <c r="D31" s="7"/>
      <c r="E31" s="115">
        <f>'PPS Data'!C34/Calculator!$D$6</f>
        <v>2.6622481396802563E-2</v>
      </c>
      <c r="F31" s="48">
        <f>E31*Calculator!$D$7</f>
        <v>0</v>
      </c>
      <c r="G31" s="24"/>
      <c r="H31" s="43">
        <f>IF('PPS Data'!D34&gt;0,F31/'PPS Data'!D34,0)</f>
        <v>0</v>
      </c>
      <c r="I31" s="44">
        <f>H31*'PPS Data'!G34+H31</f>
        <v>0</v>
      </c>
      <c r="J31" s="42"/>
      <c r="K31" s="43">
        <f t="shared" si="1"/>
        <v>0</v>
      </c>
      <c r="L31" s="51">
        <f t="shared" si="2"/>
        <v>0</v>
      </c>
      <c r="M31" s="45">
        <f>'PPS Data'!F34</f>
        <v>1</v>
      </c>
      <c r="N31" s="43">
        <f>K31*M31</f>
        <v>0</v>
      </c>
      <c r="O31" s="121"/>
      <c r="P31" s="81">
        <f t="shared" si="18"/>
        <v>0</v>
      </c>
      <c r="Q31" s="40"/>
      <c r="R31" s="40"/>
      <c r="S31" s="65"/>
      <c r="T31" s="66"/>
      <c r="U31" s="3"/>
      <c r="V31" s="4"/>
      <c r="W31" s="4"/>
      <c r="X31" s="4"/>
      <c r="Y31" s="4"/>
      <c r="Z31" s="65"/>
      <c r="AA31" s="66"/>
      <c r="AB31" s="3"/>
      <c r="AC31" s="4"/>
      <c r="AD31" s="4"/>
      <c r="AE31" s="4"/>
      <c r="AF31" s="20"/>
    </row>
    <row r="32" spans="2:32" x14ac:dyDescent="0.3">
      <c r="B32" s="18"/>
      <c r="C32" s="3"/>
      <c r="D32" s="3"/>
      <c r="E32" s="3"/>
      <c r="F32" s="3"/>
      <c r="G32" s="3"/>
      <c r="H32" s="3"/>
      <c r="I32" s="3"/>
      <c r="J32" s="3"/>
      <c r="K32" s="3"/>
      <c r="L32" s="47"/>
      <c r="M32" s="55" t="s">
        <v>31</v>
      </c>
      <c r="N32" s="119">
        <f>SUM(N6:N31)</f>
        <v>0</v>
      </c>
      <c r="O32" s="40"/>
      <c r="P32" s="56">
        <f>SUM(P6:P27)+(SUM(P28:P31)/4)</f>
        <v>0</v>
      </c>
      <c r="Q32" s="58" t="e">
        <f>SUM(Q6:Q28)</f>
        <v>#REF!</v>
      </c>
      <c r="R32" s="59"/>
      <c r="S32" s="26" t="s">
        <v>31</v>
      </c>
      <c r="T32" s="28">
        <f>SUM(T6:T31)</f>
        <v>0</v>
      </c>
      <c r="U32" s="3"/>
      <c r="V32" s="112">
        <f>SUM(V6:V31)</f>
        <v>0</v>
      </c>
      <c r="W32" s="112">
        <f>SUM(W6:W31)</f>
        <v>0</v>
      </c>
      <c r="X32" s="113">
        <f>SUM(X6:X31)</f>
        <v>0</v>
      </c>
      <c r="Y32" s="4"/>
      <c r="Z32" s="26" t="s">
        <v>31</v>
      </c>
      <c r="AA32" s="28" t="e">
        <f>SUM(AA6:AA31)</f>
        <v>#REF!</v>
      </c>
      <c r="AB32" s="3"/>
      <c r="AC32" s="112" t="e">
        <f>SUM(AC6:AC31)</f>
        <v>#REF!</v>
      </c>
      <c r="AD32" s="112" t="e">
        <f>SUM(AD6:AD31)</f>
        <v>#REF!</v>
      </c>
      <c r="AE32" s="113" t="e">
        <f>SUM(AE6:AE31)</f>
        <v>#REF!</v>
      </c>
      <c r="AF32" s="20"/>
    </row>
    <row r="33" spans="2:32" ht="21" customHeight="1" x14ac:dyDescent="0.3">
      <c r="B33" s="18"/>
      <c r="C33" s="3"/>
      <c r="D33" s="3"/>
      <c r="E33" s="3"/>
      <c r="F33" s="3"/>
      <c r="G33" s="3"/>
      <c r="H33" s="3"/>
      <c r="I33" s="3"/>
      <c r="J33" s="3"/>
      <c r="K33" s="3"/>
      <c r="L33" s="47"/>
      <c r="M33" s="107"/>
      <c r="N33" s="40"/>
      <c r="O33" s="40"/>
      <c r="P33" s="40"/>
      <c r="Q33" s="59"/>
      <c r="R33" s="59"/>
      <c r="S33" s="109" t="s">
        <v>411</v>
      </c>
      <c r="T33" s="4"/>
      <c r="U33" s="3"/>
      <c r="V33" s="108"/>
      <c r="W33" s="108"/>
      <c r="X33" s="4"/>
      <c r="Y33" s="4"/>
      <c r="Z33" s="107"/>
      <c r="AA33" s="4"/>
      <c r="AB33" s="3"/>
      <c r="AC33" s="108"/>
      <c r="AD33" s="108"/>
      <c r="AE33" s="4"/>
      <c r="AF33" s="20"/>
    </row>
    <row r="34" spans="2:32" ht="29.25" customHeight="1" thickBot="1" x14ac:dyDescent="0.35">
      <c r="B34" s="29"/>
      <c r="C34" s="30"/>
      <c r="D34" s="30"/>
      <c r="E34" s="30"/>
      <c r="F34" s="30"/>
      <c r="G34" s="30"/>
      <c r="H34" s="30"/>
      <c r="I34" s="30"/>
      <c r="J34" s="30"/>
      <c r="K34" s="30"/>
      <c r="L34" s="31"/>
      <c r="M34" s="30"/>
      <c r="N34" s="31"/>
      <c r="O34" s="31"/>
      <c r="P34" s="30"/>
      <c r="Q34" s="30"/>
      <c r="R34" s="30"/>
      <c r="S34" s="265" t="s">
        <v>412</v>
      </c>
      <c r="T34" s="265"/>
      <c r="U34" s="265"/>
      <c r="V34" s="265"/>
      <c r="W34" s="265"/>
      <c r="X34" s="265"/>
      <c r="Y34" s="30"/>
      <c r="Z34" s="30"/>
      <c r="AA34" s="30"/>
      <c r="AB34" s="30"/>
      <c r="AC34" s="30"/>
      <c r="AD34" s="30"/>
      <c r="AE34" s="30"/>
      <c r="AF34" s="32"/>
    </row>
    <row r="37" spans="2:32" x14ac:dyDescent="0.3">
      <c r="C37" s="33" t="s">
        <v>375</v>
      </c>
      <c r="D37" s="33"/>
      <c r="E37" s="33" t="s">
        <v>376</v>
      </c>
      <c r="F37" s="33"/>
      <c r="I37" s="84" t="s">
        <v>491</v>
      </c>
      <c r="J37" s="84"/>
      <c r="K37" s="85"/>
      <c r="M37" s="34"/>
    </row>
    <row r="38" spans="2:32" x14ac:dyDescent="0.3">
      <c r="C38" s="80" t="s">
        <v>39</v>
      </c>
      <c r="D38" s="80"/>
      <c r="E38" s="80" t="s">
        <v>488</v>
      </c>
      <c r="F38" s="80">
        <f>LOOKUP(E38,$I$39:$I$119,$K$39:$K$119)</f>
        <v>1.1499999999999999</v>
      </c>
      <c r="I38" s="86" t="s">
        <v>376</v>
      </c>
      <c r="J38" s="86"/>
      <c r="K38" s="86" t="s">
        <v>490</v>
      </c>
    </row>
    <row r="39" spans="2:32" x14ac:dyDescent="0.3">
      <c r="C39" s="80" t="s">
        <v>40</v>
      </c>
      <c r="D39" s="80"/>
      <c r="E39" s="80" t="s">
        <v>421</v>
      </c>
      <c r="F39" s="80">
        <f t="shared" ref="F39:F102" si="19">LOOKUP(E39,$I$39:$I$119,$K$39:$K$119)</f>
        <v>0.93</v>
      </c>
      <c r="I39" s="87" t="s">
        <v>414</v>
      </c>
      <c r="J39" s="87"/>
      <c r="K39" s="88">
        <v>0.97</v>
      </c>
    </row>
    <row r="40" spans="2:32" x14ac:dyDescent="0.3">
      <c r="C40" s="80" t="s">
        <v>41</v>
      </c>
      <c r="D40" s="80"/>
      <c r="E40" s="80" t="s">
        <v>422</v>
      </c>
      <c r="F40" s="80">
        <f t="shared" si="19"/>
        <v>0.97</v>
      </c>
      <c r="I40" s="87" t="s">
        <v>415</v>
      </c>
      <c r="J40" s="87"/>
      <c r="K40" s="88">
        <v>1.02</v>
      </c>
      <c r="S40" s="28"/>
    </row>
    <row r="41" spans="2:32" x14ac:dyDescent="0.3">
      <c r="C41" s="80" t="s">
        <v>42</v>
      </c>
      <c r="D41" s="80"/>
      <c r="E41" s="80" t="s">
        <v>488</v>
      </c>
      <c r="F41" s="80">
        <f t="shared" si="19"/>
        <v>1.1499999999999999</v>
      </c>
      <c r="I41" s="87" t="s">
        <v>416</v>
      </c>
      <c r="J41" s="87"/>
      <c r="K41" s="88">
        <v>1.1499999999999999</v>
      </c>
    </row>
    <row r="42" spans="2:32" x14ac:dyDescent="0.3">
      <c r="C42" s="80" t="s">
        <v>43</v>
      </c>
      <c r="D42" s="80"/>
      <c r="E42" s="80" t="s">
        <v>476</v>
      </c>
      <c r="F42" s="80">
        <f t="shared" si="19"/>
        <v>0.96</v>
      </c>
      <c r="I42" s="87" t="s">
        <v>417</v>
      </c>
      <c r="J42" s="87"/>
      <c r="K42" s="88">
        <v>1.1299999999999999</v>
      </c>
    </row>
    <row r="43" spans="2:32" x14ac:dyDescent="0.3">
      <c r="C43" s="80" t="s">
        <v>44</v>
      </c>
      <c r="D43" s="80"/>
      <c r="E43" s="80" t="s">
        <v>435</v>
      </c>
      <c r="F43" s="80">
        <f t="shared" si="19"/>
        <v>1.1599999999999999</v>
      </c>
      <c r="I43" s="87" t="s">
        <v>418</v>
      </c>
      <c r="J43" s="87"/>
      <c r="K43" s="88">
        <v>0.98</v>
      </c>
    </row>
    <row r="44" spans="2:32" x14ac:dyDescent="0.3">
      <c r="C44" s="80" t="s">
        <v>45</v>
      </c>
      <c r="D44" s="80"/>
      <c r="E44" s="80" t="s">
        <v>417</v>
      </c>
      <c r="F44" s="80">
        <f t="shared" si="19"/>
        <v>1.1299999999999999</v>
      </c>
      <c r="I44" s="87" t="s">
        <v>419</v>
      </c>
      <c r="J44" s="87"/>
      <c r="K44" s="88">
        <v>0.92</v>
      </c>
    </row>
    <row r="45" spans="2:32" x14ac:dyDescent="0.3">
      <c r="C45" s="80" t="s">
        <v>46</v>
      </c>
      <c r="D45" s="80"/>
      <c r="E45" s="80" t="s">
        <v>482</v>
      </c>
      <c r="F45" s="80">
        <f t="shared" si="19"/>
        <v>0.97</v>
      </c>
      <c r="I45" s="87" t="s">
        <v>100</v>
      </c>
      <c r="J45" s="87"/>
      <c r="K45" s="88">
        <v>1.26</v>
      </c>
    </row>
    <row r="46" spans="2:32" x14ac:dyDescent="0.3">
      <c r="C46" s="80" t="s">
        <v>47</v>
      </c>
      <c r="D46" s="80"/>
      <c r="E46" s="80" t="s">
        <v>437</v>
      </c>
      <c r="F46" s="80">
        <f t="shared" si="19"/>
        <v>1.2</v>
      </c>
      <c r="I46" s="87" t="s">
        <v>101</v>
      </c>
      <c r="J46" s="87"/>
      <c r="K46" s="88">
        <v>1.35</v>
      </c>
    </row>
    <row r="47" spans="2:32" x14ac:dyDescent="0.3">
      <c r="C47" s="80" t="s">
        <v>48</v>
      </c>
      <c r="D47" s="80"/>
      <c r="E47" s="80" t="s">
        <v>438</v>
      </c>
      <c r="F47" s="80">
        <f t="shared" si="19"/>
        <v>1.24</v>
      </c>
      <c r="I47" s="87" t="s">
        <v>420</v>
      </c>
      <c r="J47" s="87"/>
      <c r="K47" s="88">
        <v>0.93</v>
      </c>
    </row>
    <row r="48" spans="2:32" x14ac:dyDescent="0.3">
      <c r="C48" s="80" t="s">
        <v>49</v>
      </c>
      <c r="D48" s="80"/>
      <c r="E48" s="80" t="s">
        <v>480</v>
      </c>
      <c r="F48" s="80">
        <f t="shared" si="19"/>
        <v>0.91</v>
      </c>
      <c r="I48" s="87" t="s">
        <v>105</v>
      </c>
      <c r="J48" s="87"/>
      <c r="K48" s="88">
        <v>0.99</v>
      </c>
    </row>
    <row r="49" spans="3:11" x14ac:dyDescent="0.3">
      <c r="C49" s="80" t="s">
        <v>50</v>
      </c>
      <c r="D49" s="80"/>
      <c r="E49" s="80" t="s">
        <v>421</v>
      </c>
      <c r="F49" s="80">
        <f t="shared" si="19"/>
        <v>0.93</v>
      </c>
      <c r="I49" s="87" t="s">
        <v>421</v>
      </c>
      <c r="J49" s="87"/>
      <c r="K49" s="88">
        <v>0.93</v>
      </c>
    </row>
    <row r="50" spans="3:11" x14ac:dyDescent="0.3">
      <c r="C50" s="80" t="s">
        <v>51</v>
      </c>
      <c r="D50" s="80"/>
      <c r="E50" s="80" t="s">
        <v>428</v>
      </c>
      <c r="F50" s="80">
        <f t="shared" si="19"/>
        <v>1.03</v>
      </c>
      <c r="I50" s="87" t="s">
        <v>422</v>
      </c>
      <c r="J50" s="87"/>
      <c r="K50" s="88">
        <v>0.97</v>
      </c>
    </row>
    <row r="51" spans="3:11" x14ac:dyDescent="0.3">
      <c r="C51" s="80" t="s">
        <v>52</v>
      </c>
      <c r="D51" s="80"/>
      <c r="E51" s="80" t="s">
        <v>431</v>
      </c>
      <c r="F51" s="80">
        <f t="shared" si="19"/>
        <v>1.1100000000000001</v>
      </c>
      <c r="I51" s="87" t="s">
        <v>423</v>
      </c>
      <c r="J51" s="87"/>
      <c r="K51" s="88">
        <v>0.97</v>
      </c>
    </row>
    <row r="52" spans="3:11" x14ac:dyDescent="0.3">
      <c r="C52" s="80" t="s">
        <v>53</v>
      </c>
      <c r="D52" s="80"/>
      <c r="E52" s="80" t="s">
        <v>476</v>
      </c>
      <c r="F52" s="80">
        <f t="shared" si="19"/>
        <v>0.96</v>
      </c>
      <c r="I52" s="87" t="s">
        <v>424</v>
      </c>
      <c r="J52" s="87"/>
      <c r="K52" s="88">
        <v>0.99</v>
      </c>
    </row>
    <row r="53" spans="3:11" x14ac:dyDescent="0.3">
      <c r="C53" s="80" t="s">
        <v>54</v>
      </c>
      <c r="D53" s="80"/>
      <c r="E53" s="80" t="s">
        <v>479</v>
      </c>
      <c r="F53" s="80">
        <f t="shared" si="19"/>
        <v>0.96</v>
      </c>
      <c r="I53" s="87" t="s">
        <v>425</v>
      </c>
      <c r="J53" s="87"/>
      <c r="K53" s="88">
        <v>0.92</v>
      </c>
    </row>
    <row r="54" spans="3:11" x14ac:dyDescent="0.3">
      <c r="C54" s="80" t="s">
        <v>55</v>
      </c>
      <c r="D54" s="80"/>
      <c r="E54" s="80" t="s">
        <v>415</v>
      </c>
      <c r="F54" s="80">
        <f t="shared" si="19"/>
        <v>1.02</v>
      </c>
      <c r="I54" s="87" t="s">
        <v>426</v>
      </c>
      <c r="J54" s="87"/>
      <c r="K54" s="88">
        <v>1.1599999999999999</v>
      </c>
    </row>
    <row r="55" spans="3:11" x14ac:dyDescent="0.3">
      <c r="C55" s="80" t="s">
        <v>56</v>
      </c>
      <c r="D55" s="80"/>
      <c r="E55" s="80" t="s">
        <v>439</v>
      </c>
      <c r="F55" s="80">
        <f t="shared" si="19"/>
        <v>1.26</v>
      </c>
      <c r="I55" s="87" t="s">
        <v>427</v>
      </c>
      <c r="J55" s="87"/>
      <c r="K55" s="88">
        <v>1</v>
      </c>
    </row>
    <row r="56" spans="3:11" x14ac:dyDescent="0.3">
      <c r="C56" s="80" t="s">
        <v>57</v>
      </c>
      <c r="D56" s="80"/>
      <c r="E56" s="80" t="s">
        <v>487</v>
      </c>
      <c r="F56" s="80">
        <f t="shared" si="19"/>
        <v>0.95</v>
      </c>
      <c r="I56" s="87" t="s">
        <v>428</v>
      </c>
      <c r="J56" s="87"/>
      <c r="K56" s="88">
        <v>1.03</v>
      </c>
    </row>
    <row r="57" spans="3:11" x14ac:dyDescent="0.3">
      <c r="C57" s="80" t="s">
        <v>58</v>
      </c>
      <c r="D57" s="80"/>
      <c r="E57" s="80" t="s">
        <v>468</v>
      </c>
      <c r="F57" s="80">
        <f t="shared" si="19"/>
        <v>0.96</v>
      </c>
      <c r="I57" s="87" t="s">
        <v>429</v>
      </c>
      <c r="J57" s="87"/>
      <c r="K57" s="88">
        <v>0.98</v>
      </c>
    </row>
    <row r="58" spans="3:11" x14ac:dyDescent="0.3">
      <c r="C58" s="80" t="s">
        <v>59</v>
      </c>
      <c r="D58" s="80"/>
      <c r="E58" s="80" t="s">
        <v>436</v>
      </c>
      <c r="F58" s="80">
        <f t="shared" si="19"/>
        <v>0.92</v>
      </c>
      <c r="I58" s="87" t="s">
        <v>430</v>
      </c>
      <c r="J58" s="87"/>
      <c r="K58" s="88">
        <v>0.92</v>
      </c>
    </row>
    <row r="59" spans="3:11" x14ac:dyDescent="0.3">
      <c r="C59" s="80" t="s">
        <v>60</v>
      </c>
      <c r="D59" s="80"/>
      <c r="E59" s="80" t="s">
        <v>436</v>
      </c>
      <c r="F59" s="80">
        <f t="shared" si="19"/>
        <v>0.92</v>
      </c>
      <c r="I59" s="87" t="s">
        <v>431</v>
      </c>
      <c r="J59" s="87"/>
      <c r="K59" s="88">
        <v>1.1100000000000001</v>
      </c>
    </row>
    <row r="60" spans="3:11" x14ac:dyDescent="0.3">
      <c r="C60" s="80" t="s">
        <v>61</v>
      </c>
      <c r="D60" s="80"/>
      <c r="E60" s="80" t="s">
        <v>422</v>
      </c>
      <c r="F60" s="80">
        <f t="shared" si="19"/>
        <v>0.97</v>
      </c>
      <c r="I60" s="87" t="s">
        <v>432</v>
      </c>
      <c r="J60" s="87"/>
      <c r="K60" s="88">
        <v>0.96</v>
      </c>
    </row>
    <row r="61" spans="3:11" x14ac:dyDescent="0.3">
      <c r="C61" s="80" t="s">
        <v>62</v>
      </c>
      <c r="D61" s="80"/>
      <c r="E61" s="80" t="s">
        <v>430</v>
      </c>
      <c r="F61" s="80">
        <f t="shared" si="19"/>
        <v>0.92</v>
      </c>
      <c r="I61" s="87" t="s">
        <v>433</v>
      </c>
      <c r="J61" s="87"/>
      <c r="K61" s="88">
        <v>1.06</v>
      </c>
    </row>
    <row r="62" spans="3:11" x14ac:dyDescent="0.3">
      <c r="C62" s="80" t="s">
        <v>63</v>
      </c>
      <c r="D62" s="80"/>
      <c r="E62" s="80" t="s">
        <v>469</v>
      </c>
      <c r="F62" s="80">
        <f t="shared" si="19"/>
        <v>0.97</v>
      </c>
      <c r="I62" s="87" t="s">
        <v>434</v>
      </c>
      <c r="J62" s="87"/>
      <c r="K62" s="88">
        <v>0.9</v>
      </c>
    </row>
    <row r="63" spans="3:11" x14ac:dyDescent="0.3">
      <c r="C63" s="80" t="s">
        <v>64</v>
      </c>
      <c r="D63" s="80"/>
      <c r="E63" s="80" t="s">
        <v>424</v>
      </c>
      <c r="F63" s="80">
        <f t="shared" si="19"/>
        <v>0.99</v>
      </c>
      <c r="I63" s="87" t="s">
        <v>435</v>
      </c>
      <c r="J63" s="87"/>
      <c r="K63" s="88">
        <v>1.1599999999999999</v>
      </c>
    </row>
    <row r="64" spans="3:11" x14ac:dyDescent="0.3">
      <c r="C64" s="80" t="s">
        <v>65</v>
      </c>
      <c r="D64" s="80"/>
      <c r="E64" s="80" t="s">
        <v>416</v>
      </c>
      <c r="F64" s="80">
        <f t="shared" si="19"/>
        <v>1.1499999999999999</v>
      </c>
      <c r="I64" s="87" t="s">
        <v>436</v>
      </c>
      <c r="J64" s="87"/>
      <c r="K64" s="88">
        <v>0.92</v>
      </c>
    </row>
    <row r="65" spans="3:11" x14ac:dyDescent="0.3">
      <c r="C65" s="80" t="s">
        <v>66</v>
      </c>
      <c r="D65" s="80"/>
      <c r="E65" s="80" t="s">
        <v>489</v>
      </c>
      <c r="F65" s="80">
        <f t="shared" si="19"/>
        <v>0.89</v>
      </c>
      <c r="I65" s="87" t="s">
        <v>437</v>
      </c>
      <c r="J65" s="87"/>
      <c r="K65" s="88">
        <v>1.2</v>
      </c>
    </row>
    <row r="66" spans="3:11" x14ac:dyDescent="0.3">
      <c r="C66" s="80" t="s">
        <v>67</v>
      </c>
      <c r="D66" s="80"/>
      <c r="E66" s="80" t="s">
        <v>428</v>
      </c>
      <c r="F66" s="80">
        <f t="shared" si="19"/>
        <v>1.03</v>
      </c>
      <c r="I66" s="87" t="s">
        <v>438</v>
      </c>
      <c r="J66" s="87"/>
      <c r="K66" s="88">
        <v>1.24</v>
      </c>
    </row>
    <row r="67" spans="3:11" x14ac:dyDescent="0.3">
      <c r="C67" s="80" t="s">
        <v>68</v>
      </c>
      <c r="D67" s="80"/>
      <c r="E67" s="80" t="s">
        <v>472</v>
      </c>
      <c r="F67" s="80">
        <f t="shared" si="19"/>
        <v>0.95</v>
      </c>
      <c r="I67" s="87" t="s">
        <v>439</v>
      </c>
      <c r="J67" s="87"/>
      <c r="K67" s="88">
        <v>1.26</v>
      </c>
    </row>
    <row r="68" spans="3:11" x14ac:dyDescent="0.3">
      <c r="C68" s="80" t="s">
        <v>69</v>
      </c>
      <c r="D68" s="80"/>
      <c r="E68" s="80" t="s">
        <v>440</v>
      </c>
      <c r="F68" s="80">
        <f t="shared" si="19"/>
        <v>1.25</v>
      </c>
      <c r="I68" s="87" t="s">
        <v>440</v>
      </c>
      <c r="J68" s="87"/>
      <c r="K68" s="88">
        <v>1.25</v>
      </c>
    </row>
    <row r="69" spans="3:11" x14ac:dyDescent="0.3">
      <c r="C69" s="80" t="s">
        <v>70</v>
      </c>
      <c r="D69" s="80"/>
      <c r="E69" s="80" t="s">
        <v>428</v>
      </c>
      <c r="F69" s="80">
        <f t="shared" si="19"/>
        <v>1.03</v>
      </c>
      <c r="I69" s="87" t="s">
        <v>441</v>
      </c>
      <c r="J69" s="87"/>
      <c r="K69" s="88">
        <v>1.24</v>
      </c>
    </row>
    <row r="70" spans="3:11" x14ac:dyDescent="0.3">
      <c r="C70" s="80" t="s">
        <v>71</v>
      </c>
      <c r="D70" s="80"/>
      <c r="E70" s="80" t="s">
        <v>426</v>
      </c>
      <c r="F70" s="80">
        <f t="shared" si="19"/>
        <v>1.1599999999999999</v>
      </c>
      <c r="I70" s="87" t="s">
        <v>442</v>
      </c>
      <c r="J70" s="87"/>
      <c r="K70" s="88">
        <v>1.35</v>
      </c>
    </row>
    <row r="71" spans="3:11" x14ac:dyDescent="0.3">
      <c r="C71" s="80" t="s">
        <v>72</v>
      </c>
      <c r="D71" s="80"/>
      <c r="E71" s="80" t="s">
        <v>414</v>
      </c>
      <c r="F71" s="80">
        <f t="shared" si="19"/>
        <v>0.97</v>
      </c>
      <c r="I71" s="87" t="s">
        <v>443</v>
      </c>
      <c r="J71" s="87"/>
      <c r="K71" s="88">
        <v>1.27</v>
      </c>
    </row>
    <row r="72" spans="3:11" x14ac:dyDescent="0.3">
      <c r="C72" s="80" t="s">
        <v>73</v>
      </c>
      <c r="D72" s="80"/>
      <c r="E72" s="80" t="s">
        <v>472</v>
      </c>
      <c r="F72" s="80">
        <f t="shared" si="19"/>
        <v>0.95</v>
      </c>
      <c r="I72" s="87" t="s">
        <v>444</v>
      </c>
      <c r="J72" s="87"/>
      <c r="K72" s="88">
        <v>1.31</v>
      </c>
    </row>
    <row r="73" spans="3:11" x14ac:dyDescent="0.3">
      <c r="C73" s="80" t="s">
        <v>74</v>
      </c>
      <c r="D73" s="80"/>
      <c r="E73" s="80" t="s">
        <v>472</v>
      </c>
      <c r="F73" s="80">
        <f t="shared" si="19"/>
        <v>0.95</v>
      </c>
      <c r="I73" s="87" t="s">
        <v>445</v>
      </c>
      <c r="J73" s="87"/>
      <c r="K73" s="88">
        <v>1.21</v>
      </c>
    </row>
    <row r="74" spans="3:11" x14ac:dyDescent="0.3">
      <c r="C74" s="80" t="s">
        <v>75</v>
      </c>
      <c r="D74" s="80"/>
      <c r="E74" s="80" t="s">
        <v>441</v>
      </c>
      <c r="F74" s="80">
        <f t="shared" si="19"/>
        <v>1.24</v>
      </c>
      <c r="I74" s="87" t="s">
        <v>446</v>
      </c>
      <c r="J74" s="87"/>
      <c r="K74" s="88">
        <v>1.28</v>
      </c>
    </row>
    <row r="75" spans="3:11" x14ac:dyDescent="0.3">
      <c r="C75" s="80" t="s">
        <v>76</v>
      </c>
      <c r="D75" s="80"/>
      <c r="E75" s="80" t="s">
        <v>487</v>
      </c>
      <c r="F75" s="80">
        <f t="shared" si="19"/>
        <v>0.95</v>
      </c>
      <c r="I75" s="87" t="s">
        <v>447</v>
      </c>
      <c r="J75" s="87"/>
      <c r="K75" s="88">
        <v>1.3</v>
      </c>
    </row>
    <row r="76" spans="3:11" x14ac:dyDescent="0.3">
      <c r="C76" s="80" t="s">
        <v>77</v>
      </c>
      <c r="D76" s="80"/>
      <c r="E76" s="80" t="s">
        <v>433</v>
      </c>
      <c r="F76" s="80">
        <f t="shared" si="19"/>
        <v>1.06</v>
      </c>
      <c r="I76" s="87" t="s">
        <v>448</v>
      </c>
      <c r="J76" s="87"/>
      <c r="K76" s="88">
        <v>1.33</v>
      </c>
    </row>
    <row r="77" spans="3:11" x14ac:dyDescent="0.3">
      <c r="C77" s="80" t="s">
        <v>78</v>
      </c>
      <c r="D77" s="80"/>
      <c r="E77" s="80" t="s">
        <v>476</v>
      </c>
      <c r="F77" s="80">
        <f t="shared" si="19"/>
        <v>0.96</v>
      </c>
      <c r="I77" s="87" t="s">
        <v>449</v>
      </c>
      <c r="J77" s="87"/>
      <c r="K77" s="88">
        <v>1.33</v>
      </c>
    </row>
    <row r="78" spans="3:11" x14ac:dyDescent="0.3">
      <c r="C78" s="80" t="s">
        <v>79</v>
      </c>
      <c r="D78" s="80"/>
      <c r="E78" s="80" t="s">
        <v>436</v>
      </c>
      <c r="F78" s="80">
        <f t="shared" si="19"/>
        <v>0.92</v>
      </c>
      <c r="I78" s="87" t="s">
        <v>450</v>
      </c>
      <c r="J78" s="87"/>
      <c r="K78" s="88">
        <v>1.2</v>
      </c>
    </row>
    <row r="79" spans="3:11" x14ac:dyDescent="0.3">
      <c r="C79" s="80" t="s">
        <v>80</v>
      </c>
      <c r="D79" s="80"/>
      <c r="E79" s="80" t="s">
        <v>430</v>
      </c>
      <c r="F79" s="80">
        <f t="shared" si="19"/>
        <v>0.92</v>
      </c>
      <c r="I79" s="87" t="s">
        <v>451</v>
      </c>
      <c r="J79" s="87"/>
      <c r="K79" s="88">
        <v>1.1100000000000001</v>
      </c>
    </row>
    <row r="80" spans="3:11" x14ac:dyDescent="0.3">
      <c r="C80" s="80" t="s">
        <v>81</v>
      </c>
      <c r="D80" s="80"/>
      <c r="E80" s="80" t="s">
        <v>489</v>
      </c>
      <c r="F80" s="80">
        <f t="shared" si="19"/>
        <v>0.89</v>
      </c>
      <c r="I80" s="87" t="s">
        <v>452</v>
      </c>
      <c r="J80" s="87"/>
      <c r="K80" s="88">
        <v>1.2</v>
      </c>
    </row>
    <row r="81" spans="3:11" x14ac:dyDescent="0.3">
      <c r="C81" s="80" t="s">
        <v>82</v>
      </c>
      <c r="D81" s="80"/>
      <c r="E81" s="80" t="s">
        <v>418</v>
      </c>
      <c r="F81" s="80">
        <f t="shared" si="19"/>
        <v>0.98</v>
      </c>
      <c r="I81" s="87" t="s">
        <v>453</v>
      </c>
      <c r="J81" s="87"/>
      <c r="K81" s="88">
        <v>1.19</v>
      </c>
    </row>
    <row r="82" spans="3:11" x14ac:dyDescent="0.3">
      <c r="C82" s="80" t="s">
        <v>83</v>
      </c>
      <c r="D82" s="80"/>
      <c r="E82" s="80" t="s">
        <v>442</v>
      </c>
      <c r="F82" s="80">
        <f t="shared" si="19"/>
        <v>1.35</v>
      </c>
      <c r="I82" s="87" t="s">
        <v>454</v>
      </c>
      <c r="J82" s="87"/>
      <c r="K82" s="88">
        <v>1.31</v>
      </c>
    </row>
    <row r="83" spans="3:11" x14ac:dyDescent="0.3">
      <c r="C83" s="80" t="s">
        <v>84</v>
      </c>
      <c r="D83" s="80"/>
      <c r="E83" s="80" t="s">
        <v>481</v>
      </c>
      <c r="F83" s="80">
        <f t="shared" si="19"/>
        <v>0.93</v>
      </c>
      <c r="I83" s="87" t="s">
        <v>455</v>
      </c>
      <c r="J83" s="87"/>
      <c r="K83" s="88">
        <v>1.39</v>
      </c>
    </row>
    <row r="84" spans="3:11" x14ac:dyDescent="0.3">
      <c r="C84" s="80" t="s">
        <v>85</v>
      </c>
      <c r="D84" s="80"/>
      <c r="E84" s="80" t="s">
        <v>435</v>
      </c>
      <c r="F84" s="80">
        <f t="shared" si="19"/>
        <v>1.1599999999999999</v>
      </c>
      <c r="I84" s="87" t="s">
        <v>456</v>
      </c>
      <c r="J84" s="87"/>
      <c r="K84" s="88">
        <v>1.29</v>
      </c>
    </row>
    <row r="85" spans="3:11" x14ac:dyDescent="0.3">
      <c r="C85" s="80" t="s">
        <v>86</v>
      </c>
      <c r="D85" s="80"/>
      <c r="E85" s="80" t="s">
        <v>421</v>
      </c>
      <c r="F85" s="80">
        <f t="shared" si="19"/>
        <v>0.93</v>
      </c>
      <c r="I85" s="87" t="s">
        <v>457</v>
      </c>
      <c r="J85" s="87"/>
      <c r="K85" s="88">
        <v>1.32</v>
      </c>
    </row>
    <row r="86" spans="3:11" x14ac:dyDescent="0.3">
      <c r="C86" s="80" t="s">
        <v>87</v>
      </c>
      <c r="D86" s="80"/>
      <c r="E86" s="80" t="s">
        <v>428</v>
      </c>
      <c r="F86" s="80">
        <f t="shared" si="19"/>
        <v>1.03</v>
      </c>
      <c r="I86" s="87" t="s">
        <v>458</v>
      </c>
      <c r="J86" s="87"/>
      <c r="K86" s="88">
        <v>1.24</v>
      </c>
    </row>
    <row r="87" spans="3:11" x14ac:dyDescent="0.3">
      <c r="C87" s="80" t="s">
        <v>88</v>
      </c>
      <c r="D87" s="80"/>
      <c r="E87" s="80" t="s">
        <v>415</v>
      </c>
      <c r="F87" s="80">
        <f t="shared" si="19"/>
        <v>1.02</v>
      </c>
      <c r="I87" s="87" t="s">
        <v>459</v>
      </c>
      <c r="J87" s="87"/>
      <c r="K87" s="88">
        <v>1.28</v>
      </c>
    </row>
    <row r="88" spans="3:11" x14ac:dyDescent="0.3">
      <c r="C88" s="80" t="s">
        <v>89</v>
      </c>
      <c r="D88" s="80"/>
      <c r="E88" s="80" t="s">
        <v>468</v>
      </c>
      <c r="F88" s="80">
        <f t="shared" si="19"/>
        <v>0.96</v>
      </c>
      <c r="I88" s="87" t="s">
        <v>460</v>
      </c>
      <c r="J88" s="87"/>
      <c r="K88" s="88">
        <v>1.22</v>
      </c>
    </row>
    <row r="89" spans="3:11" x14ac:dyDescent="0.3">
      <c r="C89" s="80" t="s">
        <v>90</v>
      </c>
      <c r="D89" s="80"/>
      <c r="E89" s="80" t="s">
        <v>428</v>
      </c>
      <c r="F89" s="80">
        <f t="shared" si="19"/>
        <v>1.03</v>
      </c>
      <c r="I89" s="87" t="s">
        <v>461</v>
      </c>
      <c r="J89" s="87"/>
      <c r="K89" s="88">
        <v>1.18</v>
      </c>
    </row>
    <row r="90" spans="3:11" x14ac:dyDescent="0.3">
      <c r="C90" s="80" t="s">
        <v>91</v>
      </c>
      <c r="D90" s="80"/>
      <c r="E90" s="80" t="s">
        <v>429</v>
      </c>
      <c r="F90" s="80">
        <f t="shared" si="19"/>
        <v>0.98</v>
      </c>
      <c r="I90" s="87" t="s">
        <v>462</v>
      </c>
      <c r="J90" s="87"/>
      <c r="K90" s="88">
        <v>1.26</v>
      </c>
    </row>
    <row r="91" spans="3:11" x14ac:dyDescent="0.3">
      <c r="C91" s="80" t="s">
        <v>92</v>
      </c>
      <c r="D91" s="80"/>
      <c r="E91" s="80" t="s">
        <v>477</v>
      </c>
      <c r="F91" s="80">
        <f t="shared" si="19"/>
        <v>1.1000000000000001</v>
      </c>
      <c r="I91" s="87" t="s">
        <v>463</v>
      </c>
      <c r="J91" s="87"/>
      <c r="K91" s="88">
        <v>1.31</v>
      </c>
    </row>
    <row r="92" spans="3:11" x14ac:dyDescent="0.3">
      <c r="C92" s="80" t="s">
        <v>93</v>
      </c>
      <c r="D92" s="80"/>
      <c r="E92" s="80" t="s">
        <v>419</v>
      </c>
      <c r="F92" s="80">
        <f t="shared" si="19"/>
        <v>0.92</v>
      </c>
      <c r="I92" s="87" t="s">
        <v>464</v>
      </c>
      <c r="J92" s="87"/>
      <c r="K92" s="88">
        <v>1.24</v>
      </c>
    </row>
    <row r="93" spans="3:11" x14ac:dyDescent="0.3">
      <c r="C93" s="80" t="s">
        <v>94</v>
      </c>
      <c r="D93" s="80"/>
      <c r="E93" s="80" t="s">
        <v>419</v>
      </c>
      <c r="F93" s="80">
        <f t="shared" si="19"/>
        <v>0.92</v>
      </c>
      <c r="I93" s="87" t="s">
        <v>465</v>
      </c>
      <c r="J93" s="87"/>
      <c r="K93" s="88">
        <v>1.3</v>
      </c>
    </row>
    <row r="94" spans="3:11" x14ac:dyDescent="0.3">
      <c r="C94" s="80" t="s">
        <v>95</v>
      </c>
      <c r="D94" s="80"/>
      <c r="E94" s="80" t="s">
        <v>422</v>
      </c>
      <c r="F94" s="80">
        <f t="shared" si="19"/>
        <v>0.97</v>
      </c>
      <c r="I94" s="87" t="s">
        <v>466</v>
      </c>
      <c r="J94" s="87"/>
      <c r="K94" s="88">
        <v>1.21</v>
      </c>
    </row>
    <row r="95" spans="3:11" x14ac:dyDescent="0.3">
      <c r="C95" s="80" t="s">
        <v>96</v>
      </c>
      <c r="D95" s="80"/>
      <c r="E95" s="80" t="s">
        <v>488</v>
      </c>
      <c r="F95" s="80">
        <f t="shared" si="19"/>
        <v>1.1499999999999999</v>
      </c>
      <c r="I95" s="87" t="s">
        <v>467</v>
      </c>
      <c r="J95" s="87"/>
      <c r="K95" s="88">
        <v>1.34</v>
      </c>
    </row>
    <row r="96" spans="3:11" x14ac:dyDescent="0.3">
      <c r="C96" s="80" t="s">
        <v>97</v>
      </c>
      <c r="D96" s="80"/>
      <c r="E96" s="80" t="s">
        <v>417</v>
      </c>
      <c r="F96" s="80">
        <f t="shared" si="19"/>
        <v>1.1299999999999999</v>
      </c>
      <c r="I96" s="87" t="s">
        <v>468</v>
      </c>
      <c r="J96" s="87"/>
      <c r="K96" s="88">
        <v>0.96</v>
      </c>
    </row>
    <row r="97" spans="3:11" x14ac:dyDescent="0.3">
      <c r="C97" s="80" t="s">
        <v>98</v>
      </c>
      <c r="D97" s="80"/>
      <c r="E97" s="80" t="s">
        <v>436</v>
      </c>
      <c r="F97" s="80">
        <f t="shared" si="19"/>
        <v>0.92</v>
      </c>
      <c r="I97" s="87" t="s">
        <v>469</v>
      </c>
      <c r="J97" s="87"/>
      <c r="K97" s="88">
        <v>0.97</v>
      </c>
    </row>
    <row r="98" spans="3:11" x14ac:dyDescent="0.3">
      <c r="C98" s="80" t="s">
        <v>99</v>
      </c>
      <c r="D98" s="80"/>
      <c r="E98" s="80" t="s">
        <v>424</v>
      </c>
      <c r="F98" s="80">
        <f t="shared" si="19"/>
        <v>0.99</v>
      </c>
      <c r="I98" s="87" t="s">
        <v>470</v>
      </c>
      <c r="J98" s="87"/>
      <c r="K98" s="88">
        <v>0.92</v>
      </c>
    </row>
    <row r="99" spans="3:11" x14ac:dyDescent="0.3">
      <c r="C99" s="80" t="s">
        <v>100</v>
      </c>
      <c r="D99" s="80"/>
      <c r="E99" s="80" t="s">
        <v>100</v>
      </c>
      <c r="F99" s="80">
        <f t="shared" si="19"/>
        <v>1.26</v>
      </c>
      <c r="I99" s="87" t="s">
        <v>471</v>
      </c>
      <c r="J99" s="87"/>
      <c r="K99" s="88">
        <v>1</v>
      </c>
    </row>
    <row r="100" spans="3:11" x14ac:dyDescent="0.3">
      <c r="C100" s="80" t="s">
        <v>101</v>
      </c>
      <c r="D100" s="80"/>
      <c r="E100" s="80" t="s">
        <v>101</v>
      </c>
      <c r="F100" s="80">
        <f t="shared" si="19"/>
        <v>1.35</v>
      </c>
      <c r="I100" s="87" t="s">
        <v>472</v>
      </c>
      <c r="J100" s="87"/>
      <c r="K100" s="88">
        <v>0.95</v>
      </c>
    </row>
    <row r="101" spans="3:11" x14ac:dyDescent="0.3">
      <c r="C101" s="80" t="s">
        <v>102</v>
      </c>
      <c r="D101" s="80"/>
      <c r="E101" s="80" t="s">
        <v>428</v>
      </c>
      <c r="F101" s="80">
        <f t="shared" si="19"/>
        <v>1.03</v>
      </c>
      <c r="I101" s="87" t="s">
        <v>473</v>
      </c>
      <c r="J101" s="87"/>
      <c r="K101" s="88">
        <v>0.95</v>
      </c>
    </row>
    <row r="102" spans="3:11" x14ac:dyDescent="0.3">
      <c r="C102" s="80" t="s">
        <v>103</v>
      </c>
      <c r="D102" s="80"/>
      <c r="E102" s="80" t="s">
        <v>421</v>
      </c>
      <c r="F102" s="80">
        <f t="shared" si="19"/>
        <v>0.93</v>
      </c>
      <c r="I102" s="87" t="s">
        <v>474</v>
      </c>
      <c r="J102" s="87"/>
      <c r="K102" s="88">
        <v>1.02</v>
      </c>
    </row>
    <row r="103" spans="3:11" x14ac:dyDescent="0.3">
      <c r="C103" s="80" t="s">
        <v>104</v>
      </c>
      <c r="D103" s="80"/>
      <c r="E103" s="80" t="s">
        <v>474</v>
      </c>
      <c r="F103" s="80">
        <f t="shared" ref="F103:F166" si="20">LOOKUP(E103,$I$39:$I$119,$K$39:$K$119)</f>
        <v>1.02</v>
      </c>
      <c r="I103" s="87" t="s">
        <v>475</v>
      </c>
      <c r="J103" s="87"/>
      <c r="K103" s="88">
        <v>0.95</v>
      </c>
    </row>
    <row r="104" spans="3:11" x14ac:dyDescent="0.3">
      <c r="C104" s="80" t="s">
        <v>105</v>
      </c>
      <c r="D104" s="80"/>
      <c r="E104" s="80" t="s">
        <v>105</v>
      </c>
      <c r="F104" s="80">
        <f t="shared" si="20"/>
        <v>0.99</v>
      </c>
      <c r="I104" s="87" t="s">
        <v>476</v>
      </c>
      <c r="J104" s="87"/>
      <c r="K104" s="88">
        <v>0.96</v>
      </c>
    </row>
    <row r="105" spans="3:11" x14ac:dyDescent="0.3">
      <c r="C105" s="80" t="s">
        <v>106</v>
      </c>
      <c r="D105" s="80"/>
      <c r="E105" s="80" t="s">
        <v>429</v>
      </c>
      <c r="F105" s="80">
        <f t="shared" si="20"/>
        <v>0.98</v>
      </c>
      <c r="I105" s="87" t="s">
        <v>477</v>
      </c>
      <c r="J105" s="87"/>
      <c r="K105" s="88">
        <v>1.1000000000000001</v>
      </c>
    </row>
    <row r="106" spans="3:11" x14ac:dyDescent="0.3">
      <c r="C106" s="80" t="s">
        <v>107</v>
      </c>
      <c r="D106" s="80"/>
      <c r="E106" s="80" t="s">
        <v>425</v>
      </c>
      <c r="F106" s="80">
        <f t="shared" si="20"/>
        <v>0.92</v>
      </c>
      <c r="I106" s="87" t="s">
        <v>478</v>
      </c>
      <c r="J106" s="87"/>
      <c r="K106" s="88">
        <v>0.95</v>
      </c>
    </row>
    <row r="107" spans="3:11" x14ac:dyDescent="0.3">
      <c r="C107" s="80" t="s">
        <v>108</v>
      </c>
      <c r="D107" s="80"/>
      <c r="E107" s="80" t="s">
        <v>487</v>
      </c>
      <c r="F107" s="80">
        <f t="shared" si="20"/>
        <v>0.95</v>
      </c>
      <c r="I107" s="87" t="s">
        <v>279</v>
      </c>
      <c r="J107" s="87"/>
      <c r="K107" s="88">
        <v>0.94</v>
      </c>
    </row>
    <row r="108" spans="3:11" x14ac:dyDescent="0.3">
      <c r="C108" s="80" t="s">
        <v>109</v>
      </c>
      <c r="D108" s="80"/>
      <c r="E108" s="80" t="s">
        <v>473</v>
      </c>
      <c r="F108" s="80">
        <f t="shared" si="20"/>
        <v>0.95</v>
      </c>
      <c r="I108" s="87" t="s">
        <v>479</v>
      </c>
      <c r="J108" s="87"/>
      <c r="K108" s="88">
        <v>0.96</v>
      </c>
    </row>
    <row r="109" spans="3:11" x14ac:dyDescent="0.3">
      <c r="C109" s="80" t="s">
        <v>110</v>
      </c>
      <c r="D109" s="80"/>
      <c r="E109" s="80" t="s">
        <v>488</v>
      </c>
      <c r="F109" s="80">
        <f t="shared" si="20"/>
        <v>1.1499999999999999</v>
      </c>
      <c r="I109" s="87" t="s">
        <v>480</v>
      </c>
      <c r="J109" s="87"/>
      <c r="K109" s="88">
        <v>0.91</v>
      </c>
    </row>
    <row r="110" spans="3:11" x14ac:dyDescent="0.3">
      <c r="C110" s="80" t="s">
        <v>111</v>
      </c>
      <c r="D110" s="80"/>
      <c r="E110" s="80" t="s">
        <v>443</v>
      </c>
      <c r="F110" s="80">
        <f t="shared" si="20"/>
        <v>1.27</v>
      </c>
      <c r="I110" s="87" t="s">
        <v>481</v>
      </c>
      <c r="J110" s="87"/>
      <c r="K110" s="88">
        <v>0.93</v>
      </c>
    </row>
    <row r="111" spans="3:11" x14ac:dyDescent="0.3">
      <c r="C111" s="80" t="s">
        <v>112</v>
      </c>
      <c r="D111" s="80"/>
      <c r="E111" s="80" t="s">
        <v>433</v>
      </c>
      <c r="F111" s="80">
        <f t="shared" si="20"/>
        <v>1.06</v>
      </c>
      <c r="I111" s="87" t="s">
        <v>482</v>
      </c>
      <c r="J111" s="87"/>
      <c r="K111" s="88">
        <v>0.97</v>
      </c>
    </row>
    <row r="112" spans="3:11" x14ac:dyDescent="0.3">
      <c r="C112" s="80" t="s">
        <v>113</v>
      </c>
      <c r="D112" s="80"/>
      <c r="E112" s="80" t="s">
        <v>425</v>
      </c>
      <c r="F112" s="80">
        <f t="shared" si="20"/>
        <v>0.92</v>
      </c>
      <c r="I112" s="87" t="s">
        <v>483</v>
      </c>
      <c r="J112" s="87"/>
      <c r="K112" s="88">
        <v>1.2</v>
      </c>
    </row>
    <row r="113" spans="3:11" x14ac:dyDescent="0.3">
      <c r="C113" s="80" t="s">
        <v>114</v>
      </c>
      <c r="D113" s="80"/>
      <c r="E113" s="80" t="s">
        <v>435</v>
      </c>
      <c r="F113" s="80">
        <f t="shared" si="20"/>
        <v>1.1599999999999999</v>
      </c>
      <c r="I113" s="87" t="s">
        <v>484</v>
      </c>
      <c r="J113" s="87"/>
      <c r="K113" s="88">
        <v>0.92</v>
      </c>
    </row>
    <row r="114" spans="3:11" x14ac:dyDescent="0.3">
      <c r="C114" s="80" t="s">
        <v>115</v>
      </c>
      <c r="D114" s="80"/>
      <c r="E114" s="80" t="s">
        <v>423</v>
      </c>
      <c r="F114" s="80">
        <f t="shared" si="20"/>
        <v>0.97</v>
      </c>
      <c r="I114" s="87" t="s">
        <v>485</v>
      </c>
      <c r="J114" s="87"/>
      <c r="K114" s="88">
        <v>0.95</v>
      </c>
    </row>
    <row r="115" spans="3:11" x14ac:dyDescent="0.3">
      <c r="C115" s="80" t="s">
        <v>116</v>
      </c>
      <c r="D115" s="80"/>
      <c r="E115" s="80" t="s">
        <v>474</v>
      </c>
      <c r="F115" s="80">
        <f t="shared" si="20"/>
        <v>1.02</v>
      </c>
      <c r="I115" s="87" t="s">
        <v>486</v>
      </c>
      <c r="J115" s="87"/>
      <c r="K115" s="88">
        <v>0.98</v>
      </c>
    </row>
    <row r="116" spans="3:11" x14ac:dyDescent="0.3">
      <c r="C116" s="80" t="s">
        <v>117</v>
      </c>
      <c r="D116" s="80"/>
      <c r="E116" s="80" t="s">
        <v>422</v>
      </c>
      <c r="F116" s="80">
        <f t="shared" si="20"/>
        <v>0.97</v>
      </c>
      <c r="I116" s="87" t="s">
        <v>487</v>
      </c>
      <c r="J116" s="87"/>
      <c r="K116" s="88">
        <v>0.95</v>
      </c>
    </row>
    <row r="117" spans="3:11" x14ac:dyDescent="0.3">
      <c r="C117" s="80" t="s">
        <v>118</v>
      </c>
      <c r="D117" s="80"/>
      <c r="E117" s="80" t="s">
        <v>422</v>
      </c>
      <c r="F117" s="80">
        <f t="shared" si="20"/>
        <v>0.97</v>
      </c>
      <c r="I117" s="87" t="s">
        <v>488</v>
      </c>
      <c r="J117" s="87"/>
      <c r="K117" s="88">
        <v>1.1499999999999999</v>
      </c>
    </row>
    <row r="118" spans="3:11" x14ac:dyDescent="0.3">
      <c r="C118" s="80" t="s">
        <v>119</v>
      </c>
      <c r="D118" s="80"/>
      <c r="E118" s="80" t="s">
        <v>480</v>
      </c>
      <c r="F118" s="80">
        <f t="shared" si="20"/>
        <v>0.91</v>
      </c>
      <c r="I118" s="87" t="s">
        <v>489</v>
      </c>
      <c r="J118" s="87"/>
      <c r="K118" s="88">
        <v>0.89</v>
      </c>
    </row>
    <row r="119" spans="3:11" x14ac:dyDescent="0.3">
      <c r="C119" s="80" t="s">
        <v>120</v>
      </c>
      <c r="D119" s="80"/>
      <c r="E119" s="80" t="s">
        <v>435</v>
      </c>
      <c r="F119" s="80">
        <f t="shared" si="20"/>
        <v>1.1599999999999999</v>
      </c>
      <c r="I119" s="87" t="s">
        <v>360</v>
      </c>
      <c r="J119" s="87"/>
      <c r="K119" s="88">
        <v>0.98</v>
      </c>
    </row>
    <row r="120" spans="3:11" x14ac:dyDescent="0.3">
      <c r="C120" s="80" t="s">
        <v>121</v>
      </c>
      <c r="D120" s="80"/>
      <c r="E120" s="80" t="s">
        <v>487</v>
      </c>
      <c r="F120" s="80">
        <f t="shared" si="20"/>
        <v>0.95</v>
      </c>
    </row>
    <row r="121" spans="3:11" x14ac:dyDescent="0.3">
      <c r="C121" s="80" t="s">
        <v>122</v>
      </c>
      <c r="D121" s="80"/>
      <c r="E121" s="80" t="s">
        <v>444</v>
      </c>
      <c r="F121" s="80">
        <f t="shared" si="20"/>
        <v>1.31</v>
      </c>
    </row>
    <row r="122" spans="3:11" x14ac:dyDescent="0.3">
      <c r="C122" s="80" t="s">
        <v>123</v>
      </c>
      <c r="D122" s="80"/>
      <c r="E122" s="80" t="s">
        <v>418</v>
      </c>
      <c r="F122" s="80">
        <f t="shared" si="20"/>
        <v>0.98</v>
      </c>
    </row>
    <row r="123" spans="3:11" x14ac:dyDescent="0.3">
      <c r="C123" s="80" t="s">
        <v>124</v>
      </c>
      <c r="D123" s="80"/>
      <c r="E123" s="80" t="s">
        <v>423</v>
      </c>
      <c r="F123" s="80">
        <f t="shared" si="20"/>
        <v>0.97</v>
      </c>
    </row>
    <row r="124" spans="3:11" x14ac:dyDescent="0.3">
      <c r="C124" s="80" t="s">
        <v>125</v>
      </c>
      <c r="D124" s="80"/>
      <c r="E124" s="80" t="s">
        <v>424</v>
      </c>
      <c r="F124" s="80">
        <f t="shared" si="20"/>
        <v>0.99</v>
      </c>
    </row>
    <row r="125" spans="3:11" x14ac:dyDescent="0.3">
      <c r="C125" s="80" t="s">
        <v>126</v>
      </c>
      <c r="D125" s="80"/>
      <c r="E125" s="80" t="s">
        <v>431</v>
      </c>
      <c r="F125" s="80">
        <f t="shared" si="20"/>
        <v>1.1100000000000001</v>
      </c>
    </row>
    <row r="126" spans="3:11" x14ac:dyDescent="0.3">
      <c r="C126" s="80" t="s">
        <v>127</v>
      </c>
      <c r="D126" s="80"/>
      <c r="E126" s="80" t="s">
        <v>433</v>
      </c>
      <c r="F126" s="80">
        <f t="shared" si="20"/>
        <v>1.06</v>
      </c>
    </row>
    <row r="127" spans="3:11" x14ac:dyDescent="0.3">
      <c r="C127" s="80" t="s">
        <v>128</v>
      </c>
      <c r="D127" s="80"/>
      <c r="E127" s="80" t="s">
        <v>469</v>
      </c>
      <c r="F127" s="80">
        <f t="shared" si="20"/>
        <v>0.97</v>
      </c>
    </row>
    <row r="128" spans="3:11" x14ac:dyDescent="0.3">
      <c r="C128" s="80" t="s">
        <v>129</v>
      </c>
      <c r="D128" s="80"/>
      <c r="E128" s="80" t="s">
        <v>474</v>
      </c>
      <c r="F128" s="80">
        <f t="shared" si="20"/>
        <v>1.02</v>
      </c>
    </row>
    <row r="129" spans="3:6" x14ac:dyDescent="0.3">
      <c r="C129" s="80" t="s">
        <v>130</v>
      </c>
      <c r="D129" s="80"/>
      <c r="E129" s="80"/>
      <c r="F129" s="80" t="e">
        <f t="shared" si="20"/>
        <v>#N/A</v>
      </c>
    </row>
    <row r="130" spans="3:6" x14ac:dyDescent="0.3">
      <c r="C130" s="80" t="s">
        <v>131</v>
      </c>
      <c r="D130" s="80"/>
      <c r="E130" s="80" t="s">
        <v>481</v>
      </c>
      <c r="F130" s="80">
        <f t="shared" si="20"/>
        <v>0.93</v>
      </c>
    </row>
    <row r="131" spans="3:6" x14ac:dyDescent="0.3">
      <c r="C131" s="80" t="s">
        <v>132</v>
      </c>
      <c r="D131" s="80"/>
      <c r="E131" s="80"/>
      <c r="F131" s="80" t="e">
        <f t="shared" si="20"/>
        <v>#N/A</v>
      </c>
    </row>
    <row r="132" spans="3:6" x14ac:dyDescent="0.3">
      <c r="C132" s="80" t="s">
        <v>133</v>
      </c>
      <c r="D132" s="80"/>
      <c r="E132" s="80" t="s">
        <v>431</v>
      </c>
      <c r="F132" s="80">
        <f t="shared" si="20"/>
        <v>1.1100000000000001</v>
      </c>
    </row>
    <row r="133" spans="3:6" x14ac:dyDescent="0.3">
      <c r="C133" s="80" t="s">
        <v>134</v>
      </c>
      <c r="D133" s="80"/>
      <c r="E133" s="80" t="s">
        <v>421</v>
      </c>
      <c r="F133" s="80">
        <f t="shared" si="20"/>
        <v>0.93</v>
      </c>
    </row>
    <row r="134" spans="3:6" x14ac:dyDescent="0.3">
      <c r="C134" s="80" t="s">
        <v>135</v>
      </c>
      <c r="D134" s="80"/>
      <c r="E134" s="80" t="s">
        <v>483</v>
      </c>
      <c r="F134" s="80">
        <f t="shared" si="20"/>
        <v>1.2</v>
      </c>
    </row>
    <row r="135" spans="3:6" x14ac:dyDescent="0.3">
      <c r="C135" s="80" t="s">
        <v>136</v>
      </c>
      <c r="D135" s="80"/>
      <c r="E135" s="80" t="s">
        <v>445</v>
      </c>
      <c r="F135" s="80">
        <f t="shared" si="20"/>
        <v>1.21</v>
      </c>
    </row>
    <row r="136" spans="3:6" x14ac:dyDescent="0.3">
      <c r="C136" s="80" t="s">
        <v>137</v>
      </c>
      <c r="D136" s="80"/>
      <c r="E136" s="80" t="s">
        <v>428</v>
      </c>
      <c r="F136" s="80">
        <f t="shared" si="20"/>
        <v>1.03</v>
      </c>
    </row>
    <row r="137" spans="3:6" x14ac:dyDescent="0.3">
      <c r="C137" s="80" t="s">
        <v>138</v>
      </c>
      <c r="D137" s="80"/>
      <c r="E137" s="80" t="s">
        <v>483</v>
      </c>
      <c r="F137" s="80">
        <f t="shared" si="20"/>
        <v>1.2</v>
      </c>
    </row>
    <row r="138" spans="3:6" x14ac:dyDescent="0.3">
      <c r="C138" s="80" t="s">
        <v>139</v>
      </c>
      <c r="D138" s="80"/>
      <c r="E138" s="80" t="s">
        <v>422</v>
      </c>
      <c r="F138" s="80">
        <f t="shared" si="20"/>
        <v>0.97</v>
      </c>
    </row>
    <row r="139" spans="3:6" x14ac:dyDescent="0.3">
      <c r="C139" s="80" t="s">
        <v>140</v>
      </c>
      <c r="D139" s="80"/>
      <c r="E139" s="80" t="s">
        <v>423</v>
      </c>
      <c r="F139" s="80">
        <f t="shared" si="20"/>
        <v>0.97</v>
      </c>
    </row>
    <row r="140" spans="3:6" x14ac:dyDescent="0.3">
      <c r="C140" s="80" t="s">
        <v>141</v>
      </c>
      <c r="D140" s="80"/>
      <c r="E140" s="80"/>
      <c r="F140" s="80" t="e">
        <f t="shared" si="20"/>
        <v>#N/A</v>
      </c>
    </row>
    <row r="141" spans="3:6" x14ac:dyDescent="0.3">
      <c r="C141" s="80" t="s">
        <v>142</v>
      </c>
      <c r="D141" s="80"/>
      <c r="E141" s="80" t="s">
        <v>431</v>
      </c>
      <c r="F141" s="80">
        <f t="shared" si="20"/>
        <v>1.1100000000000001</v>
      </c>
    </row>
    <row r="142" spans="3:6" x14ac:dyDescent="0.3">
      <c r="C142" s="80" t="s">
        <v>143</v>
      </c>
      <c r="D142" s="80"/>
      <c r="E142" s="80" t="s">
        <v>418</v>
      </c>
      <c r="F142" s="80">
        <f t="shared" si="20"/>
        <v>0.98</v>
      </c>
    </row>
    <row r="143" spans="3:6" x14ac:dyDescent="0.3">
      <c r="C143" s="80" t="s">
        <v>144</v>
      </c>
      <c r="D143" s="80"/>
      <c r="E143" s="80" t="s">
        <v>482</v>
      </c>
      <c r="F143" s="80">
        <f t="shared" si="20"/>
        <v>0.97</v>
      </c>
    </row>
    <row r="144" spans="3:6" x14ac:dyDescent="0.3">
      <c r="C144" s="80" t="s">
        <v>145</v>
      </c>
      <c r="D144" s="80"/>
      <c r="E144" s="80"/>
      <c r="F144" s="80" t="e">
        <f t="shared" si="20"/>
        <v>#N/A</v>
      </c>
    </row>
    <row r="145" spans="3:6" x14ac:dyDescent="0.3">
      <c r="C145" s="80" t="s">
        <v>146</v>
      </c>
      <c r="D145" s="80"/>
      <c r="E145" s="80" t="s">
        <v>436</v>
      </c>
      <c r="F145" s="80">
        <f t="shared" si="20"/>
        <v>0.92</v>
      </c>
    </row>
    <row r="146" spans="3:6" x14ac:dyDescent="0.3">
      <c r="C146" s="80" t="s">
        <v>147</v>
      </c>
      <c r="D146" s="80"/>
      <c r="E146" s="80"/>
      <c r="F146" s="80" t="e">
        <f t="shared" si="20"/>
        <v>#N/A</v>
      </c>
    </row>
    <row r="147" spans="3:6" x14ac:dyDescent="0.3">
      <c r="C147" s="80" t="s">
        <v>148</v>
      </c>
      <c r="D147" s="80"/>
      <c r="E147" s="80" t="s">
        <v>476</v>
      </c>
      <c r="F147" s="80">
        <f t="shared" si="20"/>
        <v>0.96</v>
      </c>
    </row>
    <row r="148" spans="3:6" x14ac:dyDescent="0.3">
      <c r="C148" s="80" t="s">
        <v>149</v>
      </c>
      <c r="D148" s="80"/>
      <c r="E148" s="80" t="s">
        <v>429</v>
      </c>
      <c r="F148" s="80">
        <f t="shared" si="20"/>
        <v>0.98</v>
      </c>
    </row>
    <row r="149" spans="3:6" x14ac:dyDescent="0.3">
      <c r="C149" s="80" t="s">
        <v>150</v>
      </c>
      <c r="D149" s="80"/>
      <c r="E149" s="80" t="s">
        <v>431</v>
      </c>
      <c r="F149" s="80">
        <f t="shared" si="20"/>
        <v>1.1100000000000001</v>
      </c>
    </row>
    <row r="150" spans="3:6" x14ac:dyDescent="0.3">
      <c r="C150" s="80" t="s">
        <v>151</v>
      </c>
      <c r="D150" s="80"/>
      <c r="E150" s="80" t="s">
        <v>435</v>
      </c>
      <c r="F150" s="80">
        <f t="shared" si="20"/>
        <v>1.1599999999999999</v>
      </c>
    </row>
    <row r="151" spans="3:6" x14ac:dyDescent="0.3">
      <c r="C151" s="80" t="s">
        <v>152</v>
      </c>
      <c r="D151" s="80"/>
      <c r="E151" s="80" t="s">
        <v>472</v>
      </c>
      <c r="F151" s="80">
        <f t="shared" si="20"/>
        <v>0.95</v>
      </c>
    </row>
    <row r="152" spans="3:6" x14ac:dyDescent="0.3">
      <c r="C152" s="80" t="s">
        <v>153</v>
      </c>
      <c r="D152" s="80"/>
      <c r="E152" s="80" t="s">
        <v>446</v>
      </c>
      <c r="F152" s="80">
        <f t="shared" si="20"/>
        <v>1.28</v>
      </c>
    </row>
    <row r="153" spans="3:6" x14ac:dyDescent="0.3">
      <c r="C153" s="80" t="s">
        <v>154</v>
      </c>
      <c r="D153" s="80"/>
      <c r="E153" s="80" t="s">
        <v>483</v>
      </c>
      <c r="F153" s="80">
        <f t="shared" si="20"/>
        <v>1.2</v>
      </c>
    </row>
    <row r="154" spans="3:6" x14ac:dyDescent="0.3">
      <c r="C154" s="80" t="s">
        <v>155</v>
      </c>
      <c r="D154" s="80"/>
      <c r="E154" s="80" t="s">
        <v>447</v>
      </c>
      <c r="F154" s="80">
        <f t="shared" si="20"/>
        <v>1.3</v>
      </c>
    </row>
    <row r="155" spans="3:6" x14ac:dyDescent="0.3">
      <c r="C155" s="80" t="s">
        <v>156</v>
      </c>
      <c r="D155" s="80"/>
      <c r="E155" s="80" t="s">
        <v>419</v>
      </c>
      <c r="F155" s="80">
        <f t="shared" si="20"/>
        <v>0.92</v>
      </c>
    </row>
    <row r="156" spans="3:6" x14ac:dyDescent="0.3">
      <c r="C156" s="80" t="s">
        <v>157</v>
      </c>
      <c r="D156" s="80"/>
      <c r="E156" s="80" t="s">
        <v>473</v>
      </c>
      <c r="F156" s="80">
        <f t="shared" si="20"/>
        <v>0.95</v>
      </c>
    </row>
    <row r="157" spans="3:6" x14ac:dyDescent="0.3">
      <c r="C157" s="80" t="s">
        <v>158</v>
      </c>
      <c r="D157" s="80"/>
      <c r="E157" s="80" t="s">
        <v>448</v>
      </c>
      <c r="F157" s="80">
        <f t="shared" si="20"/>
        <v>1.33</v>
      </c>
    </row>
    <row r="158" spans="3:6" x14ac:dyDescent="0.3">
      <c r="C158" s="80" t="s">
        <v>159</v>
      </c>
      <c r="D158" s="80"/>
      <c r="E158" s="80" t="s">
        <v>468</v>
      </c>
      <c r="F158" s="80">
        <f t="shared" si="20"/>
        <v>0.96</v>
      </c>
    </row>
    <row r="159" spans="3:6" x14ac:dyDescent="0.3">
      <c r="C159" s="80" t="s">
        <v>160</v>
      </c>
      <c r="D159" s="80"/>
      <c r="E159" s="80" t="s">
        <v>449</v>
      </c>
      <c r="F159" s="80">
        <f t="shared" si="20"/>
        <v>1.33</v>
      </c>
    </row>
    <row r="160" spans="3:6" x14ac:dyDescent="0.3">
      <c r="C160" s="80" t="s">
        <v>161</v>
      </c>
      <c r="D160" s="80"/>
      <c r="E160" s="80" t="s">
        <v>428</v>
      </c>
      <c r="F160" s="80">
        <f t="shared" si="20"/>
        <v>1.03</v>
      </c>
    </row>
    <row r="161" spans="3:6" x14ac:dyDescent="0.3">
      <c r="C161" s="80" t="s">
        <v>162</v>
      </c>
      <c r="D161" s="80"/>
      <c r="E161" s="80" t="s">
        <v>473</v>
      </c>
      <c r="F161" s="80">
        <f t="shared" si="20"/>
        <v>0.95</v>
      </c>
    </row>
    <row r="162" spans="3:6" x14ac:dyDescent="0.3">
      <c r="C162" s="80" t="s">
        <v>163</v>
      </c>
      <c r="D162" s="80"/>
      <c r="E162" s="80"/>
      <c r="F162" s="80" t="e">
        <f t="shared" si="20"/>
        <v>#N/A</v>
      </c>
    </row>
    <row r="163" spans="3:6" x14ac:dyDescent="0.3">
      <c r="C163" s="80" t="s">
        <v>164</v>
      </c>
      <c r="D163" s="80"/>
      <c r="E163" s="80" t="s">
        <v>431</v>
      </c>
      <c r="F163" s="80">
        <f t="shared" si="20"/>
        <v>1.1100000000000001</v>
      </c>
    </row>
    <row r="164" spans="3:6" x14ac:dyDescent="0.3">
      <c r="C164" s="80" t="s">
        <v>165</v>
      </c>
      <c r="D164" s="80"/>
      <c r="E164" s="80" t="s">
        <v>425</v>
      </c>
      <c r="F164" s="80">
        <f t="shared" si="20"/>
        <v>0.92</v>
      </c>
    </row>
    <row r="165" spans="3:6" x14ac:dyDescent="0.3">
      <c r="C165" s="80" t="s">
        <v>166</v>
      </c>
      <c r="D165" s="80"/>
      <c r="E165" s="80" t="s">
        <v>426</v>
      </c>
      <c r="F165" s="80">
        <f t="shared" si="20"/>
        <v>1.1599999999999999</v>
      </c>
    </row>
    <row r="166" spans="3:6" x14ac:dyDescent="0.3">
      <c r="C166" s="80" t="s">
        <v>167</v>
      </c>
      <c r="D166" s="80"/>
      <c r="E166" s="80" t="s">
        <v>431</v>
      </c>
      <c r="F166" s="80">
        <f t="shared" si="20"/>
        <v>1.1100000000000001</v>
      </c>
    </row>
    <row r="167" spans="3:6" x14ac:dyDescent="0.3">
      <c r="C167" s="80" t="s">
        <v>168</v>
      </c>
      <c r="D167" s="80"/>
      <c r="E167" s="80" t="s">
        <v>451</v>
      </c>
      <c r="F167" s="80">
        <f t="shared" ref="F167:F230" si="21">LOOKUP(E167,$I$39:$I$119,$K$39:$K$119)</f>
        <v>1.1100000000000001</v>
      </c>
    </row>
    <row r="168" spans="3:6" x14ac:dyDescent="0.3">
      <c r="C168" s="80" t="s">
        <v>169</v>
      </c>
      <c r="D168" s="80"/>
      <c r="E168" s="80" t="s">
        <v>433</v>
      </c>
      <c r="F168" s="80">
        <f t="shared" si="21"/>
        <v>1.06</v>
      </c>
    </row>
    <row r="169" spans="3:6" x14ac:dyDescent="0.3">
      <c r="C169" s="80" t="s">
        <v>170</v>
      </c>
      <c r="D169" s="80"/>
      <c r="E169" s="80"/>
      <c r="F169" s="80" t="e">
        <f t="shared" si="21"/>
        <v>#N/A</v>
      </c>
    </row>
    <row r="170" spans="3:6" x14ac:dyDescent="0.3">
      <c r="C170" s="80" t="s">
        <v>171</v>
      </c>
      <c r="D170" s="80"/>
      <c r="E170" s="80" t="s">
        <v>422</v>
      </c>
      <c r="F170" s="80">
        <f t="shared" si="21"/>
        <v>0.97</v>
      </c>
    </row>
    <row r="171" spans="3:6" x14ac:dyDescent="0.3">
      <c r="C171" s="80" t="s">
        <v>172</v>
      </c>
      <c r="D171" s="80"/>
      <c r="E171" s="80" t="s">
        <v>452</v>
      </c>
      <c r="F171" s="80">
        <f t="shared" si="21"/>
        <v>1.2</v>
      </c>
    </row>
    <row r="172" spans="3:6" x14ac:dyDescent="0.3">
      <c r="C172" s="80" t="s">
        <v>173</v>
      </c>
      <c r="D172" s="80"/>
      <c r="E172" s="80" t="s">
        <v>468</v>
      </c>
      <c r="F172" s="80">
        <f t="shared" si="21"/>
        <v>0.96</v>
      </c>
    </row>
    <row r="173" spans="3:6" x14ac:dyDescent="0.3">
      <c r="C173" s="80" t="s">
        <v>174</v>
      </c>
      <c r="D173" s="80"/>
      <c r="E173" s="80" t="s">
        <v>488</v>
      </c>
      <c r="F173" s="80">
        <f t="shared" si="21"/>
        <v>1.1499999999999999</v>
      </c>
    </row>
    <row r="174" spans="3:6" x14ac:dyDescent="0.3">
      <c r="C174" s="80" t="s">
        <v>175</v>
      </c>
      <c r="D174" s="80"/>
      <c r="E174" s="80"/>
      <c r="F174" s="80" t="e">
        <f t="shared" si="21"/>
        <v>#N/A</v>
      </c>
    </row>
    <row r="175" spans="3:6" x14ac:dyDescent="0.3">
      <c r="C175" s="80" t="s">
        <v>176</v>
      </c>
      <c r="D175" s="80"/>
      <c r="E175" s="80"/>
      <c r="F175" s="80" t="e">
        <f t="shared" si="21"/>
        <v>#N/A</v>
      </c>
    </row>
    <row r="176" spans="3:6" x14ac:dyDescent="0.3">
      <c r="C176" s="80" t="s">
        <v>177</v>
      </c>
      <c r="D176" s="80"/>
      <c r="E176" s="80" t="s">
        <v>418</v>
      </c>
      <c r="F176" s="80">
        <f t="shared" si="21"/>
        <v>0.98</v>
      </c>
    </row>
    <row r="177" spans="3:6" x14ac:dyDescent="0.3">
      <c r="C177" s="80" t="s">
        <v>178</v>
      </c>
      <c r="D177" s="80"/>
      <c r="E177" s="80" t="s">
        <v>436</v>
      </c>
      <c r="F177" s="80">
        <f t="shared" si="21"/>
        <v>0.92</v>
      </c>
    </row>
    <row r="178" spans="3:6" x14ac:dyDescent="0.3">
      <c r="C178" s="80" t="s">
        <v>179</v>
      </c>
      <c r="D178" s="80"/>
      <c r="E178" s="80" t="s">
        <v>482</v>
      </c>
      <c r="F178" s="80">
        <f t="shared" si="21"/>
        <v>0.97</v>
      </c>
    </row>
    <row r="179" spans="3:6" x14ac:dyDescent="0.3">
      <c r="C179" s="80" t="s">
        <v>180</v>
      </c>
      <c r="D179" s="80"/>
      <c r="E179" s="80" t="s">
        <v>431</v>
      </c>
      <c r="F179" s="80">
        <f t="shared" si="21"/>
        <v>1.1100000000000001</v>
      </c>
    </row>
    <row r="180" spans="3:6" x14ac:dyDescent="0.3">
      <c r="C180" s="80" t="s">
        <v>181</v>
      </c>
      <c r="D180" s="80"/>
      <c r="E180" s="80" t="s">
        <v>105</v>
      </c>
      <c r="F180" s="80">
        <f t="shared" si="21"/>
        <v>0.99</v>
      </c>
    </row>
    <row r="181" spans="3:6" x14ac:dyDescent="0.3">
      <c r="C181" s="80" t="s">
        <v>182</v>
      </c>
      <c r="D181" s="80"/>
      <c r="E181" s="80" t="s">
        <v>454</v>
      </c>
      <c r="F181" s="80">
        <f t="shared" si="21"/>
        <v>1.31</v>
      </c>
    </row>
    <row r="182" spans="3:6" x14ac:dyDescent="0.3">
      <c r="C182" s="80" t="s">
        <v>183</v>
      </c>
      <c r="D182" s="80"/>
      <c r="E182" s="80" t="s">
        <v>455</v>
      </c>
      <c r="F182" s="80">
        <f t="shared" si="21"/>
        <v>1.39</v>
      </c>
    </row>
    <row r="183" spans="3:6" x14ac:dyDescent="0.3">
      <c r="C183" s="80" t="s">
        <v>184</v>
      </c>
      <c r="D183" s="80"/>
      <c r="E183" s="80" t="s">
        <v>474</v>
      </c>
      <c r="F183" s="80">
        <f t="shared" si="21"/>
        <v>1.02</v>
      </c>
    </row>
    <row r="184" spans="3:6" x14ac:dyDescent="0.3">
      <c r="C184" s="80" t="s">
        <v>185</v>
      </c>
      <c r="D184" s="80"/>
      <c r="E184" s="80" t="s">
        <v>472</v>
      </c>
      <c r="F184" s="80">
        <f t="shared" si="21"/>
        <v>0.95</v>
      </c>
    </row>
    <row r="185" spans="3:6" x14ac:dyDescent="0.3">
      <c r="C185" s="80" t="s">
        <v>186</v>
      </c>
      <c r="D185" s="80"/>
      <c r="E185" s="80" t="s">
        <v>456</v>
      </c>
      <c r="F185" s="80">
        <f t="shared" si="21"/>
        <v>1.29</v>
      </c>
    </row>
    <row r="186" spans="3:6" x14ac:dyDescent="0.3">
      <c r="C186" s="80" t="s">
        <v>187</v>
      </c>
      <c r="D186" s="80"/>
      <c r="E186" s="80"/>
      <c r="F186" s="80" t="e">
        <f t="shared" si="21"/>
        <v>#N/A</v>
      </c>
    </row>
    <row r="187" spans="3:6" x14ac:dyDescent="0.3">
      <c r="C187" s="80" t="s">
        <v>188</v>
      </c>
      <c r="D187" s="80"/>
      <c r="E187" s="80" t="s">
        <v>470</v>
      </c>
      <c r="F187" s="80">
        <f t="shared" si="21"/>
        <v>0.92</v>
      </c>
    </row>
    <row r="188" spans="3:6" x14ac:dyDescent="0.3">
      <c r="C188" s="80" t="s">
        <v>189</v>
      </c>
      <c r="D188" s="80"/>
      <c r="E188" s="80"/>
      <c r="F188" s="80" t="e">
        <f t="shared" si="21"/>
        <v>#N/A</v>
      </c>
    </row>
    <row r="189" spans="3:6" x14ac:dyDescent="0.3">
      <c r="C189" s="80" t="s">
        <v>190</v>
      </c>
      <c r="D189" s="80"/>
      <c r="E189" s="80" t="s">
        <v>457</v>
      </c>
      <c r="F189" s="80">
        <f t="shared" si="21"/>
        <v>1.32</v>
      </c>
    </row>
    <row r="190" spans="3:6" x14ac:dyDescent="0.3">
      <c r="C190" s="80" t="s">
        <v>191</v>
      </c>
      <c r="D190" s="80"/>
      <c r="E190" s="80"/>
      <c r="F190" s="80" t="e">
        <f t="shared" si="21"/>
        <v>#N/A</v>
      </c>
    </row>
    <row r="191" spans="3:6" x14ac:dyDescent="0.3">
      <c r="C191" s="80" t="s">
        <v>192</v>
      </c>
      <c r="D191" s="80"/>
      <c r="E191" s="80"/>
      <c r="F191" s="80" t="e">
        <f t="shared" si="21"/>
        <v>#N/A</v>
      </c>
    </row>
    <row r="192" spans="3:6" x14ac:dyDescent="0.3">
      <c r="C192" s="80" t="s">
        <v>193</v>
      </c>
      <c r="D192" s="80"/>
      <c r="E192" s="80"/>
      <c r="F192" s="80" t="e">
        <f t="shared" si="21"/>
        <v>#N/A</v>
      </c>
    </row>
    <row r="193" spans="3:6" x14ac:dyDescent="0.3">
      <c r="C193" s="80" t="s">
        <v>194</v>
      </c>
      <c r="D193" s="80"/>
      <c r="E193" s="80" t="s">
        <v>426</v>
      </c>
      <c r="F193" s="80">
        <f t="shared" si="21"/>
        <v>1.1599999999999999</v>
      </c>
    </row>
    <row r="194" spans="3:6" x14ac:dyDescent="0.3">
      <c r="C194" s="80" t="s">
        <v>195</v>
      </c>
      <c r="D194" s="80"/>
      <c r="E194" s="80" t="s">
        <v>458</v>
      </c>
      <c r="F194" s="80">
        <f t="shared" si="21"/>
        <v>1.24</v>
      </c>
    </row>
    <row r="195" spans="3:6" x14ac:dyDescent="0.3">
      <c r="C195" s="80" t="s">
        <v>196</v>
      </c>
      <c r="D195" s="80"/>
      <c r="E195" s="80"/>
      <c r="F195" s="80" t="e">
        <f t="shared" si="21"/>
        <v>#N/A</v>
      </c>
    </row>
    <row r="196" spans="3:6" x14ac:dyDescent="0.3">
      <c r="C196" s="80" t="s">
        <v>197</v>
      </c>
      <c r="D196" s="80"/>
      <c r="E196" s="80" t="s">
        <v>469</v>
      </c>
      <c r="F196" s="80">
        <f t="shared" si="21"/>
        <v>0.97</v>
      </c>
    </row>
    <row r="197" spans="3:6" x14ac:dyDescent="0.3">
      <c r="C197" s="80" t="s">
        <v>198</v>
      </c>
      <c r="D197" s="80"/>
      <c r="E197" s="80" t="s">
        <v>470</v>
      </c>
      <c r="F197" s="80">
        <f t="shared" si="21"/>
        <v>0.92</v>
      </c>
    </row>
    <row r="198" spans="3:6" x14ac:dyDescent="0.3">
      <c r="C198" s="80" t="s">
        <v>199</v>
      </c>
      <c r="D198" s="80"/>
      <c r="E198" s="80"/>
      <c r="F198" s="80" t="e">
        <f t="shared" si="21"/>
        <v>#N/A</v>
      </c>
    </row>
    <row r="199" spans="3:6" x14ac:dyDescent="0.3">
      <c r="C199" s="80" t="s">
        <v>200</v>
      </c>
      <c r="D199" s="80"/>
      <c r="E199" s="80" t="s">
        <v>435</v>
      </c>
      <c r="F199" s="80">
        <f t="shared" si="21"/>
        <v>1.1599999999999999</v>
      </c>
    </row>
    <row r="200" spans="3:6" x14ac:dyDescent="0.3">
      <c r="C200" s="80" t="s">
        <v>201</v>
      </c>
      <c r="D200" s="80"/>
      <c r="E200" s="80" t="s">
        <v>428</v>
      </c>
      <c r="F200" s="80">
        <f t="shared" si="21"/>
        <v>1.03</v>
      </c>
    </row>
    <row r="201" spans="3:6" x14ac:dyDescent="0.3">
      <c r="C201" s="80" t="s">
        <v>202</v>
      </c>
      <c r="D201" s="80"/>
      <c r="E201" s="80"/>
      <c r="F201" s="80" t="e">
        <f t="shared" si="21"/>
        <v>#N/A</v>
      </c>
    </row>
    <row r="202" spans="3:6" x14ac:dyDescent="0.3">
      <c r="C202" s="80" t="s">
        <v>203</v>
      </c>
      <c r="D202" s="80"/>
      <c r="E202" s="80"/>
      <c r="F202" s="80" t="e">
        <f t="shared" si="21"/>
        <v>#N/A</v>
      </c>
    </row>
    <row r="203" spans="3:6" x14ac:dyDescent="0.3">
      <c r="C203" s="80" t="s">
        <v>204</v>
      </c>
      <c r="D203" s="80"/>
      <c r="E203" s="80" t="s">
        <v>476</v>
      </c>
      <c r="F203" s="80">
        <f t="shared" si="21"/>
        <v>0.96</v>
      </c>
    </row>
    <row r="204" spans="3:6" x14ac:dyDescent="0.3">
      <c r="C204" s="80" t="s">
        <v>205</v>
      </c>
      <c r="D204" s="80"/>
      <c r="E204" s="80" t="s">
        <v>435</v>
      </c>
      <c r="F204" s="80">
        <f t="shared" si="21"/>
        <v>1.1599999999999999</v>
      </c>
    </row>
    <row r="205" spans="3:6" x14ac:dyDescent="0.3">
      <c r="C205" s="80" t="s">
        <v>206</v>
      </c>
      <c r="D205" s="80"/>
      <c r="E205" s="80" t="s">
        <v>468</v>
      </c>
      <c r="F205" s="80">
        <f t="shared" si="21"/>
        <v>0.96</v>
      </c>
    </row>
    <row r="206" spans="3:6" x14ac:dyDescent="0.3">
      <c r="C206" s="80" t="s">
        <v>207</v>
      </c>
      <c r="D206" s="80"/>
      <c r="E206" s="80"/>
      <c r="F206" s="80" t="e">
        <f t="shared" si="21"/>
        <v>#N/A</v>
      </c>
    </row>
    <row r="207" spans="3:6" x14ac:dyDescent="0.3">
      <c r="C207" s="80" t="s">
        <v>208</v>
      </c>
      <c r="D207" s="80"/>
      <c r="E207" s="80"/>
      <c r="F207" s="80" t="e">
        <f t="shared" si="21"/>
        <v>#N/A</v>
      </c>
    </row>
    <row r="208" spans="3:6" x14ac:dyDescent="0.3">
      <c r="C208" s="80" t="s">
        <v>209</v>
      </c>
      <c r="D208" s="80"/>
      <c r="E208" s="80" t="s">
        <v>423</v>
      </c>
      <c r="F208" s="80">
        <f t="shared" si="21"/>
        <v>0.97</v>
      </c>
    </row>
    <row r="209" spans="3:6" x14ac:dyDescent="0.3">
      <c r="C209" s="80" t="s">
        <v>210</v>
      </c>
      <c r="D209" s="80"/>
      <c r="E209" s="80" t="s">
        <v>482</v>
      </c>
      <c r="F209" s="80">
        <f t="shared" si="21"/>
        <v>0.97</v>
      </c>
    </row>
    <row r="210" spans="3:6" x14ac:dyDescent="0.3">
      <c r="C210" s="80" t="s">
        <v>211</v>
      </c>
      <c r="D210" s="80"/>
      <c r="E210" s="80"/>
      <c r="F210" s="80" t="e">
        <f t="shared" si="21"/>
        <v>#N/A</v>
      </c>
    </row>
    <row r="211" spans="3:6" x14ac:dyDescent="0.3">
      <c r="C211" s="80" t="s">
        <v>212</v>
      </c>
      <c r="D211" s="80"/>
      <c r="E211" s="80" t="s">
        <v>473</v>
      </c>
      <c r="F211" s="80">
        <f>LOOKUP(E211,$I$39:$I$119,$K$39:$K$119)</f>
        <v>0.95</v>
      </c>
    </row>
    <row r="212" spans="3:6" x14ac:dyDescent="0.3">
      <c r="C212" s="80" t="s">
        <v>213</v>
      </c>
      <c r="D212" s="80"/>
      <c r="E212" s="80" t="s">
        <v>417</v>
      </c>
      <c r="F212" s="80">
        <f t="shared" si="21"/>
        <v>1.1299999999999999</v>
      </c>
    </row>
    <row r="213" spans="3:6" x14ac:dyDescent="0.3">
      <c r="C213" s="80" t="s">
        <v>214</v>
      </c>
      <c r="D213" s="80"/>
      <c r="E213" s="80" t="s">
        <v>483</v>
      </c>
      <c r="F213" s="80">
        <f t="shared" si="21"/>
        <v>1.2</v>
      </c>
    </row>
    <row r="214" spans="3:6" x14ac:dyDescent="0.3">
      <c r="C214" s="80" t="s">
        <v>215</v>
      </c>
      <c r="D214" s="80"/>
      <c r="E214" s="80" t="s">
        <v>431</v>
      </c>
      <c r="F214" s="80">
        <f t="shared" si="21"/>
        <v>1.1100000000000001</v>
      </c>
    </row>
    <row r="215" spans="3:6" x14ac:dyDescent="0.3">
      <c r="C215" s="80" t="s">
        <v>216</v>
      </c>
      <c r="D215" s="80"/>
      <c r="E215" s="80" t="s">
        <v>431</v>
      </c>
      <c r="F215" s="80">
        <f t="shared" si="21"/>
        <v>1.1100000000000001</v>
      </c>
    </row>
    <row r="216" spans="3:6" x14ac:dyDescent="0.3">
      <c r="C216" s="80" t="s">
        <v>217</v>
      </c>
      <c r="D216" s="80"/>
      <c r="E216" s="80" t="s">
        <v>476</v>
      </c>
      <c r="F216" s="80">
        <f t="shared" si="21"/>
        <v>0.96</v>
      </c>
    </row>
    <row r="217" spans="3:6" x14ac:dyDescent="0.3">
      <c r="C217" s="80" t="s">
        <v>218</v>
      </c>
      <c r="D217" s="80"/>
      <c r="E217" s="80"/>
      <c r="F217" s="80" t="e">
        <f t="shared" si="21"/>
        <v>#N/A</v>
      </c>
    </row>
    <row r="218" spans="3:6" x14ac:dyDescent="0.3">
      <c r="C218" s="80" t="s">
        <v>219</v>
      </c>
      <c r="D218" s="80"/>
      <c r="E218" s="80"/>
      <c r="F218" s="80" t="e">
        <f t="shared" si="21"/>
        <v>#N/A</v>
      </c>
    </row>
    <row r="219" spans="3:6" x14ac:dyDescent="0.3">
      <c r="C219" s="80" t="s">
        <v>220</v>
      </c>
      <c r="D219" s="80"/>
      <c r="E219" s="80" t="s">
        <v>460</v>
      </c>
      <c r="F219" s="80">
        <f t="shared" si="21"/>
        <v>1.22</v>
      </c>
    </row>
    <row r="220" spans="3:6" x14ac:dyDescent="0.3">
      <c r="C220" s="80" t="s">
        <v>221</v>
      </c>
      <c r="D220" s="80"/>
      <c r="E220" s="80" t="s">
        <v>423</v>
      </c>
      <c r="F220" s="80">
        <f t="shared" si="21"/>
        <v>0.97</v>
      </c>
    </row>
    <row r="221" spans="3:6" x14ac:dyDescent="0.3">
      <c r="C221" s="80" t="s">
        <v>222</v>
      </c>
      <c r="D221" s="80"/>
      <c r="E221" s="80" t="s">
        <v>424</v>
      </c>
      <c r="F221" s="80">
        <f>LOOKUP(E221,$I$39:$I$119,$K$39:$K$119)</f>
        <v>0.99</v>
      </c>
    </row>
    <row r="222" spans="3:6" x14ac:dyDescent="0.3">
      <c r="C222" s="80" t="s">
        <v>223</v>
      </c>
      <c r="D222" s="80"/>
      <c r="E222" s="80" t="s">
        <v>422</v>
      </c>
      <c r="F222" s="80">
        <f t="shared" si="21"/>
        <v>0.97</v>
      </c>
    </row>
    <row r="223" spans="3:6" x14ac:dyDescent="0.3">
      <c r="C223" s="80" t="s">
        <v>224</v>
      </c>
      <c r="D223" s="80"/>
      <c r="E223" s="80" t="s">
        <v>469</v>
      </c>
      <c r="F223" s="80">
        <f t="shared" si="21"/>
        <v>0.97</v>
      </c>
    </row>
    <row r="224" spans="3:6" x14ac:dyDescent="0.3">
      <c r="C224" s="80" t="s">
        <v>225</v>
      </c>
      <c r="D224" s="80"/>
      <c r="E224" s="80" t="s">
        <v>433</v>
      </c>
      <c r="F224" s="80">
        <f t="shared" si="21"/>
        <v>1.06</v>
      </c>
    </row>
    <row r="225" spans="3:6" x14ac:dyDescent="0.3">
      <c r="C225" s="80" t="s">
        <v>226</v>
      </c>
      <c r="D225" s="80"/>
      <c r="E225" s="80" t="s">
        <v>469</v>
      </c>
      <c r="F225" s="80">
        <f t="shared" si="21"/>
        <v>0.97</v>
      </c>
    </row>
    <row r="226" spans="3:6" x14ac:dyDescent="0.3">
      <c r="C226" s="80" t="s">
        <v>227</v>
      </c>
      <c r="D226" s="80"/>
      <c r="E226" s="80" t="s">
        <v>469</v>
      </c>
      <c r="F226" s="80">
        <f t="shared" si="21"/>
        <v>0.97</v>
      </c>
    </row>
    <row r="227" spans="3:6" x14ac:dyDescent="0.3">
      <c r="C227" s="80" t="s">
        <v>228</v>
      </c>
      <c r="D227" s="80"/>
      <c r="E227" s="80" t="s">
        <v>472</v>
      </c>
      <c r="F227" s="80">
        <f t="shared" si="21"/>
        <v>0.95</v>
      </c>
    </row>
    <row r="228" spans="3:6" x14ac:dyDescent="0.3">
      <c r="C228" s="80" t="s">
        <v>229</v>
      </c>
      <c r="D228" s="80"/>
      <c r="E228" s="80" t="s">
        <v>479</v>
      </c>
      <c r="F228" s="80">
        <f t="shared" si="21"/>
        <v>0.96</v>
      </c>
    </row>
    <row r="229" spans="3:6" x14ac:dyDescent="0.3">
      <c r="C229" s="80" t="s">
        <v>230</v>
      </c>
      <c r="D229" s="80"/>
      <c r="E229" s="80"/>
      <c r="F229" s="80" t="e">
        <f t="shared" si="21"/>
        <v>#N/A</v>
      </c>
    </row>
    <row r="230" spans="3:6" x14ac:dyDescent="0.3">
      <c r="C230" s="80" t="s">
        <v>231</v>
      </c>
      <c r="D230" s="80"/>
      <c r="E230" s="80" t="s">
        <v>486</v>
      </c>
      <c r="F230" s="80">
        <f t="shared" si="21"/>
        <v>0.98</v>
      </c>
    </row>
    <row r="231" spans="3:6" x14ac:dyDescent="0.3">
      <c r="C231" s="80" t="s">
        <v>232</v>
      </c>
      <c r="D231" s="80"/>
      <c r="E231" s="80" t="s">
        <v>468</v>
      </c>
      <c r="F231" s="80">
        <f t="shared" ref="F231:F294" si="22">LOOKUP(E231,$I$39:$I$119,$K$39:$K$119)</f>
        <v>0.96</v>
      </c>
    </row>
    <row r="232" spans="3:6" x14ac:dyDescent="0.3">
      <c r="C232" s="80" t="s">
        <v>233</v>
      </c>
      <c r="D232" s="80"/>
      <c r="E232" s="80" t="s">
        <v>473</v>
      </c>
      <c r="F232" s="80">
        <f t="shared" si="22"/>
        <v>0.95</v>
      </c>
    </row>
    <row r="233" spans="3:6" x14ac:dyDescent="0.3">
      <c r="C233" s="80" t="s">
        <v>234</v>
      </c>
      <c r="D233" s="80"/>
      <c r="E233" s="80" t="s">
        <v>474</v>
      </c>
      <c r="F233" s="80">
        <f t="shared" si="22"/>
        <v>1.02</v>
      </c>
    </row>
    <row r="234" spans="3:6" x14ac:dyDescent="0.3">
      <c r="C234" s="80" t="s">
        <v>235</v>
      </c>
      <c r="D234" s="80"/>
      <c r="E234" s="80" t="s">
        <v>475</v>
      </c>
      <c r="F234" s="80">
        <f>LOOKUP(E234,$I$39:$I$119,$K$39:$K$119)</f>
        <v>0.95</v>
      </c>
    </row>
    <row r="235" spans="3:6" x14ac:dyDescent="0.3">
      <c r="C235" s="80" t="s">
        <v>236</v>
      </c>
      <c r="D235" s="80"/>
      <c r="E235" s="80" t="s">
        <v>475</v>
      </c>
      <c r="F235" s="80">
        <f t="shared" si="22"/>
        <v>0.95</v>
      </c>
    </row>
    <row r="236" spans="3:6" x14ac:dyDescent="0.3">
      <c r="C236" s="80" t="s">
        <v>237</v>
      </c>
      <c r="D236" s="80"/>
      <c r="E236" s="80" t="s">
        <v>472</v>
      </c>
      <c r="F236" s="80">
        <f t="shared" si="22"/>
        <v>0.95</v>
      </c>
    </row>
    <row r="237" spans="3:6" x14ac:dyDescent="0.3">
      <c r="C237" s="80" t="s">
        <v>238</v>
      </c>
      <c r="D237" s="80"/>
      <c r="E237" s="80" t="s">
        <v>476</v>
      </c>
      <c r="F237" s="80">
        <f t="shared" si="22"/>
        <v>0.96</v>
      </c>
    </row>
    <row r="238" spans="3:6" x14ac:dyDescent="0.3">
      <c r="C238" s="80" t="s">
        <v>239</v>
      </c>
      <c r="D238" s="80"/>
      <c r="E238" s="80"/>
      <c r="F238" s="80" t="e">
        <f t="shared" si="22"/>
        <v>#N/A</v>
      </c>
    </row>
    <row r="239" spans="3:6" x14ac:dyDescent="0.3">
      <c r="C239" s="80" t="s">
        <v>240</v>
      </c>
      <c r="D239" s="80"/>
      <c r="E239" s="80" t="s">
        <v>468</v>
      </c>
      <c r="F239" s="80">
        <f t="shared" si="22"/>
        <v>0.96</v>
      </c>
    </row>
    <row r="240" spans="3:6" x14ac:dyDescent="0.3">
      <c r="C240" s="80" t="s">
        <v>241</v>
      </c>
      <c r="D240" s="80"/>
      <c r="E240" s="80" t="s">
        <v>430</v>
      </c>
      <c r="F240" s="80">
        <f t="shared" si="22"/>
        <v>0.92</v>
      </c>
    </row>
    <row r="241" spans="3:6" x14ac:dyDescent="0.3">
      <c r="C241" s="80" t="s">
        <v>242</v>
      </c>
      <c r="D241" s="80"/>
      <c r="E241" s="80" t="s">
        <v>477</v>
      </c>
      <c r="F241" s="80">
        <f t="shared" si="22"/>
        <v>1.1000000000000001</v>
      </c>
    </row>
    <row r="242" spans="3:6" x14ac:dyDescent="0.3">
      <c r="C242" s="80" t="s">
        <v>243</v>
      </c>
      <c r="D242" s="80"/>
      <c r="E242" s="80"/>
      <c r="F242" s="80" t="e">
        <f t="shared" si="22"/>
        <v>#N/A</v>
      </c>
    </row>
    <row r="243" spans="3:6" x14ac:dyDescent="0.3">
      <c r="C243" s="80" t="s">
        <v>244</v>
      </c>
      <c r="D243" s="80"/>
      <c r="E243" s="80" t="s">
        <v>436</v>
      </c>
      <c r="F243" s="80">
        <f t="shared" si="22"/>
        <v>0.92</v>
      </c>
    </row>
    <row r="244" spans="3:6" x14ac:dyDescent="0.3">
      <c r="C244" s="80" t="s">
        <v>245</v>
      </c>
      <c r="D244" s="80"/>
      <c r="E244" s="80" t="s">
        <v>418</v>
      </c>
      <c r="F244" s="80">
        <f t="shared" si="22"/>
        <v>0.98</v>
      </c>
    </row>
    <row r="245" spans="3:6" x14ac:dyDescent="0.3">
      <c r="C245" s="80" t="s">
        <v>246</v>
      </c>
      <c r="D245" s="80"/>
      <c r="E245" s="80" t="s">
        <v>423</v>
      </c>
      <c r="F245" s="80">
        <f t="shared" si="22"/>
        <v>0.97</v>
      </c>
    </row>
    <row r="246" spans="3:6" x14ac:dyDescent="0.3">
      <c r="C246" s="80" t="s">
        <v>247</v>
      </c>
      <c r="D246" s="80"/>
      <c r="E246" s="80" t="s">
        <v>424</v>
      </c>
      <c r="F246" s="80">
        <f t="shared" si="22"/>
        <v>0.99</v>
      </c>
    </row>
    <row r="247" spans="3:6" x14ac:dyDescent="0.3">
      <c r="C247" s="80" t="s">
        <v>248</v>
      </c>
      <c r="D247" s="80"/>
      <c r="E247" s="80" t="s">
        <v>431</v>
      </c>
      <c r="F247" s="80">
        <f t="shared" si="22"/>
        <v>1.1100000000000001</v>
      </c>
    </row>
    <row r="248" spans="3:6" x14ac:dyDescent="0.3">
      <c r="C248" s="80" t="s">
        <v>249</v>
      </c>
      <c r="D248" s="80"/>
      <c r="E248" s="80" t="s">
        <v>436</v>
      </c>
      <c r="F248" s="80">
        <f t="shared" si="22"/>
        <v>0.92</v>
      </c>
    </row>
    <row r="249" spans="3:6" x14ac:dyDescent="0.3">
      <c r="C249" s="80" t="s">
        <v>250</v>
      </c>
      <c r="D249" s="80"/>
      <c r="E249" s="80" t="s">
        <v>424</v>
      </c>
      <c r="F249" s="80">
        <f>LOOKUP(E249,$I$39:$I$119,$K$39:$K$119)</f>
        <v>0.99</v>
      </c>
    </row>
    <row r="250" spans="3:6" x14ac:dyDescent="0.3">
      <c r="C250" s="80" t="s">
        <v>251</v>
      </c>
      <c r="D250" s="80"/>
      <c r="E250" s="80" t="s">
        <v>416</v>
      </c>
      <c r="F250" s="80">
        <f t="shared" si="22"/>
        <v>1.1499999999999999</v>
      </c>
    </row>
    <row r="251" spans="3:6" x14ac:dyDescent="0.3">
      <c r="C251" s="80" t="s">
        <v>252</v>
      </c>
      <c r="D251" s="80"/>
      <c r="E251" s="80" t="s">
        <v>461</v>
      </c>
      <c r="F251" s="80">
        <f t="shared" si="22"/>
        <v>1.18</v>
      </c>
    </row>
    <row r="252" spans="3:6" x14ac:dyDescent="0.3">
      <c r="C252" s="80" t="s">
        <v>253</v>
      </c>
      <c r="D252" s="80"/>
      <c r="E252" s="80" t="s">
        <v>473</v>
      </c>
      <c r="F252" s="80">
        <f t="shared" si="22"/>
        <v>0.95</v>
      </c>
    </row>
    <row r="253" spans="3:6" x14ac:dyDescent="0.3">
      <c r="C253" s="80" t="s">
        <v>254</v>
      </c>
      <c r="D253" s="80"/>
      <c r="E253" s="80"/>
      <c r="F253" s="80" t="e">
        <f t="shared" si="22"/>
        <v>#N/A</v>
      </c>
    </row>
    <row r="254" spans="3:6" x14ac:dyDescent="0.3">
      <c r="C254" s="80" t="s">
        <v>255</v>
      </c>
      <c r="D254" s="80"/>
      <c r="E254" s="80" t="s">
        <v>483</v>
      </c>
      <c r="F254" s="80">
        <f t="shared" si="22"/>
        <v>1.2</v>
      </c>
    </row>
    <row r="255" spans="3:6" x14ac:dyDescent="0.3">
      <c r="C255" s="80" t="s">
        <v>256</v>
      </c>
      <c r="D255" s="80"/>
      <c r="E255" s="80" t="s">
        <v>436</v>
      </c>
      <c r="F255" s="80">
        <f t="shared" si="22"/>
        <v>0.92</v>
      </c>
    </row>
    <row r="256" spans="3:6" x14ac:dyDescent="0.3">
      <c r="C256" s="80" t="s">
        <v>257</v>
      </c>
      <c r="D256" s="80"/>
      <c r="E256" s="80" t="s">
        <v>462</v>
      </c>
      <c r="F256" s="80">
        <f t="shared" si="22"/>
        <v>1.26</v>
      </c>
    </row>
    <row r="257" spans="3:6" x14ac:dyDescent="0.3">
      <c r="C257" s="80" t="s">
        <v>258</v>
      </c>
      <c r="D257" s="80"/>
      <c r="E257" s="80" t="s">
        <v>473</v>
      </c>
      <c r="F257" s="80">
        <f t="shared" si="22"/>
        <v>0.95</v>
      </c>
    </row>
    <row r="258" spans="3:6" x14ac:dyDescent="0.3">
      <c r="C258" s="80" t="s">
        <v>259</v>
      </c>
      <c r="D258" s="80"/>
      <c r="E258" s="80" t="s">
        <v>430</v>
      </c>
      <c r="F258" s="80">
        <f t="shared" si="22"/>
        <v>0.92</v>
      </c>
    </row>
    <row r="259" spans="3:6" x14ac:dyDescent="0.3">
      <c r="C259" s="80" t="s">
        <v>260</v>
      </c>
      <c r="D259" s="80"/>
      <c r="E259" s="80" t="s">
        <v>428</v>
      </c>
      <c r="F259" s="80">
        <f t="shared" si="22"/>
        <v>1.03</v>
      </c>
    </row>
    <row r="260" spans="3:6" x14ac:dyDescent="0.3">
      <c r="C260" s="80" t="s">
        <v>261</v>
      </c>
      <c r="D260" s="80"/>
      <c r="E260" s="80" t="s">
        <v>436</v>
      </c>
      <c r="F260" s="80">
        <f t="shared" si="22"/>
        <v>0.92</v>
      </c>
    </row>
    <row r="261" spans="3:6" x14ac:dyDescent="0.3">
      <c r="C261" s="80" t="s">
        <v>262</v>
      </c>
      <c r="D261" s="80"/>
      <c r="E261" s="80" t="s">
        <v>426</v>
      </c>
      <c r="F261" s="80">
        <f t="shared" si="22"/>
        <v>1.1599999999999999</v>
      </c>
    </row>
    <row r="262" spans="3:6" x14ac:dyDescent="0.3">
      <c r="C262" s="80" t="s">
        <v>263</v>
      </c>
      <c r="D262" s="80"/>
      <c r="E262" s="80" t="s">
        <v>480</v>
      </c>
      <c r="F262" s="80">
        <f t="shared" si="22"/>
        <v>0.91</v>
      </c>
    </row>
    <row r="263" spans="3:6" x14ac:dyDescent="0.3">
      <c r="C263" s="80" t="s">
        <v>264</v>
      </c>
      <c r="D263" s="80"/>
      <c r="E263" s="80"/>
      <c r="F263" s="80" t="e">
        <f t="shared" si="22"/>
        <v>#N/A</v>
      </c>
    </row>
    <row r="264" spans="3:6" x14ac:dyDescent="0.3">
      <c r="C264" s="80" t="s">
        <v>265</v>
      </c>
      <c r="D264" s="80"/>
      <c r="E264" s="80" t="s">
        <v>483</v>
      </c>
      <c r="F264" s="80">
        <f t="shared" si="22"/>
        <v>1.2</v>
      </c>
    </row>
    <row r="265" spans="3:6" x14ac:dyDescent="0.3">
      <c r="C265" s="80" t="s">
        <v>266</v>
      </c>
      <c r="D265" s="80"/>
      <c r="E265" s="80" t="s">
        <v>476</v>
      </c>
      <c r="F265" s="80">
        <f t="shared" si="22"/>
        <v>0.96</v>
      </c>
    </row>
    <row r="266" spans="3:6" x14ac:dyDescent="0.3">
      <c r="C266" s="80" t="s">
        <v>267</v>
      </c>
      <c r="D266" s="80"/>
      <c r="E266" s="80" t="s">
        <v>431</v>
      </c>
      <c r="F266" s="80">
        <f t="shared" si="22"/>
        <v>1.1100000000000001</v>
      </c>
    </row>
    <row r="267" spans="3:6" x14ac:dyDescent="0.3">
      <c r="C267" s="80" t="s">
        <v>268</v>
      </c>
      <c r="D267" s="80"/>
      <c r="E267" s="80"/>
      <c r="F267" s="80" t="e">
        <f t="shared" si="22"/>
        <v>#N/A</v>
      </c>
    </row>
    <row r="268" spans="3:6" x14ac:dyDescent="0.3">
      <c r="C268" s="80" t="s">
        <v>269</v>
      </c>
      <c r="D268" s="80"/>
      <c r="E268" s="80" t="s">
        <v>473</v>
      </c>
      <c r="F268" s="80">
        <f t="shared" si="22"/>
        <v>0.95</v>
      </c>
    </row>
    <row r="269" spans="3:6" x14ac:dyDescent="0.3">
      <c r="C269" s="80" t="s">
        <v>270</v>
      </c>
      <c r="D269" s="80"/>
      <c r="E269" s="80" t="s">
        <v>430</v>
      </c>
      <c r="F269" s="80">
        <f t="shared" si="22"/>
        <v>0.92</v>
      </c>
    </row>
    <row r="270" spans="3:6" x14ac:dyDescent="0.3">
      <c r="C270" s="80" t="s">
        <v>271</v>
      </c>
      <c r="D270" s="80"/>
      <c r="E270" s="80" t="s">
        <v>487</v>
      </c>
      <c r="F270" s="80">
        <f t="shared" si="22"/>
        <v>0.95</v>
      </c>
    </row>
    <row r="271" spans="3:6" x14ac:dyDescent="0.3">
      <c r="C271" s="80" t="s">
        <v>272</v>
      </c>
      <c r="D271" s="80"/>
      <c r="E271" s="80" t="s">
        <v>473</v>
      </c>
      <c r="F271" s="80">
        <f t="shared" si="22"/>
        <v>0.95</v>
      </c>
    </row>
    <row r="272" spans="3:6" x14ac:dyDescent="0.3">
      <c r="C272" s="80" t="s">
        <v>273</v>
      </c>
      <c r="D272" s="80"/>
      <c r="E272" s="80" t="s">
        <v>479</v>
      </c>
      <c r="F272" s="80">
        <f t="shared" si="22"/>
        <v>0.96</v>
      </c>
    </row>
    <row r="273" spans="3:6" x14ac:dyDescent="0.3">
      <c r="C273" s="80" t="s">
        <v>274</v>
      </c>
      <c r="D273" s="80"/>
      <c r="E273" s="80" t="s">
        <v>470</v>
      </c>
      <c r="F273" s="80">
        <f t="shared" si="22"/>
        <v>0.92</v>
      </c>
    </row>
    <row r="274" spans="3:6" x14ac:dyDescent="0.3">
      <c r="C274" s="80" t="s">
        <v>275</v>
      </c>
      <c r="D274" s="80"/>
      <c r="E274" s="80" t="s">
        <v>473</v>
      </c>
      <c r="F274" s="80">
        <f t="shared" si="22"/>
        <v>0.95</v>
      </c>
    </row>
    <row r="275" spans="3:6" x14ac:dyDescent="0.3">
      <c r="C275" s="80" t="s">
        <v>276</v>
      </c>
      <c r="D275" s="80"/>
      <c r="E275" s="80" t="s">
        <v>435</v>
      </c>
      <c r="F275" s="80">
        <f t="shared" si="22"/>
        <v>1.1599999999999999</v>
      </c>
    </row>
    <row r="276" spans="3:6" x14ac:dyDescent="0.3">
      <c r="C276" s="80" t="s">
        <v>277</v>
      </c>
      <c r="D276" s="80"/>
      <c r="E276" s="80" t="s">
        <v>480</v>
      </c>
      <c r="F276" s="80">
        <f t="shared" si="22"/>
        <v>0.91</v>
      </c>
    </row>
    <row r="277" spans="3:6" x14ac:dyDescent="0.3">
      <c r="C277" s="80" t="s">
        <v>278</v>
      </c>
      <c r="D277" s="80"/>
      <c r="E277" s="80" t="s">
        <v>435</v>
      </c>
      <c r="F277" s="80">
        <f t="shared" si="22"/>
        <v>1.1599999999999999</v>
      </c>
    </row>
    <row r="278" spans="3:6" x14ac:dyDescent="0.3">
      <c r="C278" s="80" t="s">
        <v>279</v>
      </c>
      <c r="D278" s="80"/>
      <c r="E278" s="80" t="s">
        <v>279</v>
      </c>
      <c r="F278" s="80">
        <f t="shared" si="22"/>
        <v>0.94</v>
      </c>
    </row>
    <row r="279" spans="3:6" x14ac:dyDescent="0.3">
      <c r="C279" s="80" t="s">
        <v>280</v>
      </c>
      <c r="D279" s="80"/>
      <c r="E279" s="80" t="s">
        <v>416</v>
      </c>
      <c r="F279" s="80">
        <f t="shared" si="22"/>
        <v>1.1499999999999999</v>
      </c>
    </row>
    <row r="280" spans="3:6" x14ac:dyDescent="0.3">
      <c r="C280" s="80" t="s">
        <v>281</v>
      </c>
      <c r="D280" s="80"/>
      <c r="E280" s="80" t="s">
        <v>487</v>
      </c>
      <c r="F280" s="80">
        <f t="shared" si="22"/>
        <v>0.95</v>
      </c>
    </row>
    <row r="281" spans="3:6" x14ac:dyDescent="0.3">
      <c r="C281" s="80" t="s">
        <v>282</v>
      </c>
      <c r="D281" s="80"/>
      <c r="E281" s="80" t="s">
        <v>417</v>
      </c>
      <c r="F281" s="80">
        <f t="shared" si="22"/>
        <v>1.1299999999999999</v>
      </c>
    </row>
    <row r="282" spans="3:6" x14ac:dyDescent="0.3">
      <c r="C282" s="80" t="s">
        <v>283</v>
      </c>
      <c r="D282" s="80"/>
      <c r="E282" s="80" t="s">
        <v>418</v>
      </c>
      <c r="F282" s="80">
        <f t="shared" si="22"/>
        <v>0.98</v>
      </c>
    </row>
    <row r="283" spans="3:6" x14ac:dyDescent="0.3">
      <c r="C283" s="80" t="s">
        <v>284</v>
      </c>
      <c r="D283" s="80"/>
      <c r="E283" s="80" t="s">
        <v>422</v>
      </c>
      <c r="F283" s="80">
        <f t="shared" si="22"/>
        <v>0.97</v>
      </c>
    </row>
    <row r="284" spans="3:6" x14ac:dyDescent="0.3">
      <c r="C284" s="80" t="s">
        <v>285</v>
      </c>
      <c r="D284" s="80"/>
      <c r="E284" s="80"/>
      <c r="F284" s="80" t="e">
        <f t="shared" si="22"/>
        <v>#N/A</v>
      </c>
    </row>
    <row r="285" spans="3:6" x14ac:dyDescent="0.3">
      <c r="C285" s="80" t="s">
        <v>286</v>
      </c>
      <c r="D285" s="80"/>
      <c r="E285" s="80" t="s">
        <v>429</v>
      </c>
      <c r="F285" s="80">
        <f t="shared" si="22"/>
        <v>0.98</v>
      </c>
    </row>
    <row r="286" spans="3:6" x14ac:dyDescent="0.3">
      <c r="C286" s="80" t="s">
        <v>287</v>
      </c>
      <c r="D286" s="80"/>
      <c r="E286" s="80" t="s">
        <v>423</v>
      </c>
      <c r="F286" s="80">
        <f t="shared" si="22"/>
        <v>0.97</v>
      </c>
    </row>
    <row r="287" spans="3:6" x14ac:dyDescent="0.3">
      <c r="C287" s="80" t="s">
        <v>288</v>
      </c>
      <c r="D287" s="80"/>
      <c r="E287" s="80" t="s">
        <v>469</v>
      </c>
      <c r="F287" s="80">
        <f t="shared" si="22"/>
        <v>0.97</v>
      </c>
    </row>
    <row r="288" spans="3:6" x14ac:dyDescent="0.3">
      <c r="C288" s="80" t="s">
        <v>289</v>
      </c>
      <c r="D288" s="80"/>
      <c r="E288" s="80" t="s">
        <v>469</v>
      </c>
      <c r="F288" s="80">
        <f t="shared" si="22"/>
        <v>0.97</v>
      </c>
    </row>
    <row r="289" spans="3:6" x14ac:dyDescent="0.3">
      <c r="C289" s="80" t="s">
        <v>290</v>
      </c>
      <c r="D289" s="80"/>
      <c r="E289" s="80"/>
      <c r="F289" s="80" t="e">
        <f t="shared" si="22"/>
        <v>#N/A</v>
      </c>
    </row>
    <row r="290" spans="3:6" x14ac:dyDescent="0.3">
      <c r="C290" s="80" t="s">
        <v>291</v>
      </c>
      <c r="D290" s="80"/>
      <c r="E290" s="80" t="s">
        <v>472</v>
      </c>
      <c r="F290" s="80">
        <f t="shared" si="22"/>
        <v>0.95</v>
      </c>
    </row>
    <row r="291" spans="3:6" x14ac:dyDescent="0.3">
      <c r="C291" s="80" t="s">
        <v>292</v>
      </c>
      <c r="D291" s="80"/>
      <c r="E291" s="80" t="s">
        <v>474</v>
      </c>
      <c r="F291" s="80">
        <f t="shared" si="22"/>
        <v>1.02</v>
      </c>
    </row>
    <row r="292" spans="3:6" x14ac:dyDescent="0.3">
      <c r="C292" s="80" t="s">
        <v>293</v>
      </c>
      <c r="D292" s="80"/>
      <c r="E292" s="80" t="s">
        <v>477</v>
      </c>
      <c r="F292" s="80">
        <f t="shared" si="22"/>
        <v>1.1000000000000001</v>
      </c>
    </row>
    <row r="293" spans="3:6" x14ac:dyDescent="0.3">
      <c r="C293" s="80" t="s">
        <v>294</v>
      </c>
      <c r="D293" s="80"/>
      <c r="E293" s="80" t="s">
        <v>436</v>
      </c>
      <c r="F293" s="80">
        <f t="shared" si="22"/>
        <v>0.92</v>
      </c>
    </row>
    <row r="294" spans="3:6" x14ac:dyDescent="0.3">
      <c r="C294" s="80" t="s">
        <v>295</v>
      </c>
      <c r="D294" s="80"/>
      <c r="E294" s="80" t="s">
        <v>479</v>
      </c>
      <c r="F294" s="80">
        <f t="shared" si="22"/>
        <v>0.96</v>
      </c>
    </row>
    <row r="295" spans="3:6" x14ac:dyDescent="0.3">
      <c r="C295" s="80" t="s">
        <v>296</v>
      </c>
      <c r="D295" s="80"/>
      <c r="E295" s="80" t="s">
        <v>481</v>
      </c>
      <c r="F295" s="80">
        <f t="shared" ref="F295:F358" si="23">LOOKUP(E295,$I$39:$I$119,$K$39:$K$119)</f>
        <v>0.93</v>
      </c>
    </row>
    <row r="296" spans="3:6" x14ac:dyDescent="0.3">
      <c r="C296" s="80" t="s">
        <v>297</v>
      </c>
      <c r="D296" s="80"/>
      <c r="E296" s="80"/>
      <c r="F296" s="80" t="e">
        <f t="shared" si="23"/>
        <v>#N/A</v>
      </c>
    </row>
    <row r="297" spans="3:6" x14ac:dyDescent="0.3">
      <c r="C297" s="80" t="s">
        <v>298</v>
      </c>
      <c r="D297" s="80"/>
      <c r="E297" s="80" t="s">
        <v>431</v>
      </c>
      <c r="F297" s="80">
        <f t="shared" si="23"/>
        <v>1.1100000000000001</v>
      </c>
    </row>
    <row r="298" spans="3:6" x14ac:dyDescent="0.3">
      <c r="C298" s="80" t="s">
        <v>299</v>
      </c>
      <c r="D298" s="80"/>
      <c r="E298" s="80" t="s">
        <v>428</v>
      </c>
      <c r="F298" s="80">
        <f t="shared" si="23"/>
        <v>1.03</v>
      </c>
    </row>
    <row r="299" spans="3:6" x14ac:dyDescent="0.3">
      <c r="C299" s="80" t="s">
        <v>300</v>
      </c>
      <c r="D299" s="80"/>
      <c r="E299" s="80" t="s">
        <v>463</v>
      </c>
      <c r="F299" s="80">
        <f t="shared" si="23"/>
        <v>1.31</v>
      </c>
    </row>
    <row r="300" spans="3:6" x14ac:dyDescent="0.3">
      <c r="C300" s="80" t="s">
        <v>301</v>
      </c>
      <c r="D300" s="80"/>
      <c r="E300" s="80" t="s">
        <v>483</v>
      </c>
      <c r="F300" s="80">
        <f t="shared" si="23"/>
        <v>1.2</v>
      </c>
    </row>
    <row r="301" spans="3:6" x14ac:dyDescent="0.3">
      <c r="C301" s="80" t="s">
        <v>302</v>
      </c>
      <c r="D301" s="80"/>
      <c r="E301" s="80" t="s">
        <v>433</v>
      </c>
      <c r="F301" s="80">
        <f t="shared" si="23"/>
        <v>1.06</v>
      </c>
    </row>
    <row r="302" spans="3:6" x14ac:dyDescent="0.3">
      <c r="C302" s="80" t="s">
        <v>303</v>
      </c>
      <c r="D302" s="80"/>
      <c r="E302" s="80" t="s">
        <v>482</v>
      </c>
      <c r="F302" s="80">
        <f t="shared" si="23"/>
        <v>0.97</v>
      </c>
    </row>
    <row r="303" spans="3:6" x14ac:dyDescent="0.3">
      <c r="C303" s="80" t="s">
        <v>304</v>
      </c>
      <c r="D303" s="80"/>
      <c r="E303" s="80" t="s">
        <v>470</v>
      </c>
      <c r="F303" s="80">
        <f t="shared" si="23"/>
        <v>0.92</v>
      </c>
    </row>
    <row r="304" spans="3:6" x14ac:dyDescent="0.3">
      <c r="C304" s="80" t="s">
        <v>305</v>
      </c>
      <c r="D304" s="80"/>
      <c r="E304" s="80" t="s">
        <v>481</v>
      </c>
      <c r="F304" s="80">
        <f t="shared" si="23"/>
        <v>0.93</v>
      </c>
    </row>
    <row r="305" spans="3:6" x14ac:dyDescent="0.3">
      <c r="C305" s="80" t="s">
        <v>306</v>
      </c>
      <c r="D305" s="80"/>
      <c r="E305" s="80" t="s">
        <v>481</v>
      </c>
      <c r="F305" s="80">
        <f t="shared" si="23"/>
        <v>0.93</v>
      </c>
    </row>
    <row r="306" spans="3:6" x14ac:dyDescent="0.3">
      <c r="C306" s="80" t="s">
        <v>307</v>
      </c>
      <c r="D306" s="80"/>
      <c r="E306" s="80"/>
      <c r="F306" s="80" t="e">
        <f t="shared" si="23"/>
        <v>#N/A</v>
      </c>
    </row>
    <row r="307" spans="3:6" x14ac:dyDescent="0.3">
      <c r="C307" s="80" t="s">
        <v>308</v>
      </c>
      <c r="D307" s="80"/>
      <c r="E307" s="80" t="s">
        <v>430</v>
      </c>
      <c r="F307" s="80">
        <f t="shared" si="23"/>
        <v>0.92</v>
      </c>
    </row>
    <row r="308" spans="3:6" x14ac:dyDescent="0.3">
      <c r="C308" s="80" t="s">
        <v>309</v>
      </c>
      <c r="D308" s="80"/>
      <c r="E308" s="82" t="s">
        <v>473</v>
      </c>
      <c r="F308" s="80">
        <f t="shared" si="23"/>
        <v>0.95</v>
      </c>
    </row>
    <row r="309" spans="3:6" x14ac:dyDescent="0.3">
      <c r="C309" s="80" t="s">
        <v>310</v>
      </c>
      <c r="D309" s="80"/>
      <c r="E309" s="80"/>
      <c r="F309" s="80" t="e">
        <f t="shared" si="23"/>
        <v>#N/A</v>
      </c>
    </row>
    <row r="310" spans="3:6" x14ac:dyDescent="0.3">
      <c r="C310" s="80" t="s">
        <v>311</v>
      </c>
      <c r="D310" s="80"/>
      <c r="E310" s="80"/>
      <c r="F310" s="80" t="e">
        <f t="shared" si="23"/>
        <v>#N/A</v>
      </c>
    </row>
    <row r="311" spans="3:6" x14ac:dyDescent="0.3">
      <c r="C311" s="80" t="s">
        <v>312</v>
      </c>
      <c r="D311" s="80"/>
      <c r="E311" s="80"/>
      <c r="F311" s="80" t="e">
        <f t="shared" si="23"/>
        <v>#N/A</v>
      </c>
    </row>
    <row r="312" spans="3:6" x14ac:dyDescent="0.3">
      <c r="C312" s="80" t="s">
        <v>313</v>
      </c>
      <c r="D312" s="80"/>
      <c r="E312" s="80" t="s">
        <v>482</v>
      </c>
      <c r="F312" s="80">
        <f t="shared" si="23"/>
        <v>0.97</v>
      </c>
    </row>
    <row r="313" spans="3:6" x14ac:dyDescent="0.3">
      <c r="C313" s="80" t="s">
        <v>314</v>
      </c>
      <c r="D313" s="80"/>
      <c r="E313" s="80"/>
      <c r="F313" s="80" t="e">
        <f t="shared" si="23"/>
        <v>#N/A</v>
      </c>
    </row>
    <row r="314" spans="3:6" x14ac:dyDescent="0.3">
      <c r="C314" s="80" t="s">
        <v>315</v>
      </c>
      <c r="D314" s="80"/>
      <c r="E314" s="80" t="s">
        <v>483</v>
      </c>
      <c r="F314" s="80">
        <f t="shared" si="23"/>
        <v>1.2</v>
      </c>
    </row>
    <row r="315" spans="3:6" x14ac:dyDescent="0.3">
      <c r="C315" s="80" t="s">
        <v>316</v>
      </c>
      <c r="D315" s="80"/>
      <c r="E315" s="80" t="s">
        <v>464</v>
      </c>
      <c r="F315" s="80">
        <f t="shared" si="23"/>
        <v>1.24</v>
      </c>
    </row>
    <row r="316" spans="3:6" x14ac:dyDescent="0.3">
      <c r="C316" s="80" t="s">
        <v>317</v>
      </c>
      <c r="D316" s="80"/>
      <c r="E316" s="80" t="s">
        <v>435</v>
      </c>
      <c r="F316" s="80">
        <f t="shared" si="23"/>
        <v>1.1599999999999999</v>
      </c>
    </row>
    <row r="317" spans="3:6" x14ac:dyDescent="0.3">
      <c r="C317" s="80" t="s">
        <v>318</v>
      </c>
      <c r="D317" s="80"/>
      <c r="E317" s="80" t="s">
        <v>360</v>
      </c>
      <c r="F317" s="80">
        <f t="shared" si="23"/>
        <v>0.98</v>
      </c>
    </row>
    <row r="318" spans="3:6" x14ac:dyDescent="0.3">
      <c r="C318" s="80" t="s">
        <v>319</v>
      </c>
      <c r="D318" s="80"/>
      <c r="E318" s="80" t="s">
        <v>430</v>
      </c>
      <c r="F318" s="80">
        <f t="shared" si="23"/>
        <v>0.92</v>
      </c>
    </row>
    <row r="319" spans="3:6" x14ac:dyDescent="0.3">
      <c r="C319" s="80" t="s">
        <v>320</v>
      </c>
      <c r="D319" s="80"/>
      <c r="E319" s="80"/>
      <c r="F319" s="80" t="e">
        <f t="shared" si="23"/>
        <v>#N/A</v>
      </c>
    </row>
    <row r="320" spans="3:6" x14ac:dyDescent="0.3">
      <c r="C320" s="80" t="s">
        <v>321</v>
      </c>
      <c r="D320" s="80"/>
      <c r="E320" s="80"/>
      <c r="F320" s="80" t="e">
        <f t="shared" si="23"/>
        <v>#N/A</v>
      </c>
    </row>
    <row r="321" spans="3:6" x14ac:dyDescent="0.3">
      <c r="C321" s="80" t="s">
        <v>322</v>
      </c>
      <c r="D321" s="80"/>
      <c r="E321" s="80" t="s">
        <v>479</v>
      </c>
      <c r="F321" s="80">
        <f t="shared" si="23"/>
        <v>0.96</v>
      </c>
    </row>
    <row r="322" spans="3:6" x14ac:dyDescent="0.3">
      <c r="C322" s="80" t="s">
        <v>323</v>
      </c>
      <c r="D322" s="80"/>
      <c r="E322" s="80" t="s">
        <v>423</v>
      </c>
      <c r="F322" s="80">
        <f t="shared" si="23"/>
        <v>0.97</v>
      </c>
    </row>
    <row r="323" spans="3:6" x14ac:dyDescent="0.3">
      <c r="C323" s="80" t="s">
        <v>324</v>
      </c>
      <c r="D323" s="80"/>
      <c r="E323" s="80" t="s">
        <v>279</v>
      </c>
      <c r="F323" s="80">
        <f t="shared" si="23"/>
        <v>0.94</v>
      </c>
    </row>
    <row r="324" spans="3:6" x14ac:dyDescent="0.3">
      <c r="C324" s="80" t="s">
        <v>325</v>
      </c>
      <c r="D324" s="80"/>
      <c r="E324" s="80" t="s">
        <v>428</v>
      </c>
      <c r="F324" s="80">
        <f t="shared" si="23"/>
        <v>1.03</v>
      </c>
    </row>
    <row r="325" spans="3:6" x14ac:dyDescent="0.3">
      <c r="C325" s="80" t="s">
        <v>326</v>
      </c>
      <c r="D325" s="80"/>
      <c r="E325" s="80" t="s">
        <v>431</v>
      </c>
      <c r="F325" s="80">
        <f t="shared" si="23"/>
        <v>1.1100000000000001</v>
      </c>
    </row>
    <row r="326" spans="3:6" x14ac:dyDescent="0.3">
      <c r="C326" s="80" t="s">
        <v>327</v>
      </c>
      <c r="D326" s="80"/>
      <c r="E326" s="80"/>
      <c r="F326" s="80" t="e">
        <f t="shared" si="23"/>
        <v>#N/A</v>
      </c>
    </row>
    <row r="327" spans="3:6" x14ac:dyDescent="0.3">
      <c r="C327" s="80" t="s">
        <v>328</v>
      </c>
      <c r="D327" s="80"/>
      <c r="E327" s="80" t="s">
        <v>435</v>
      </c>
      <c r="F327" s="80">
        <f t="shared" si="23"/>
        <v>1.1599999999999999</v>
      </c>
    </row>
    <row r="328" spans="3:6" x14ac:dyDescent="0.3">
      <c r="C328" s="80" t="s">
        <v>329</v>
      </c>
      <c r="D328" s="80"/>
      <c r="E328" s="80" t="s">
        <v>433</v>
      </c>
      <c r="F328" s="80">
        <f t="shared" si="23"/>
        <v>1.06</v>
      </c>
    </row>
    <row r="329" spans="3:6" x14ac:dyDescent="0.3">
      <c r="C329" s="80" t="s">
        <v>330</v>
      </c>
      <c r="D329" s="80"/>
      <c r="E329" s="80"/>
      <c r="F329" s="80" t="e">
        <f t="shared" si="23"/>
        <v>#N/A</v>
      </c>
    </row>
    <row r="330" spans="3:6" x14ac:dyDescent="0.3">
      <c r="C330" s="80" t="s">
        <v>331</v>
      </c>
      <c r="D330" s="80"/>
      <c r="E330" s="80" t="s">
        <v>435</v>
      </c>
      <c r="F330" s="80">
        <f t="shared" si="23"/>
        <v>1.1599999999999999</v>
      </c>
    </row>
    <row r="331" spans="3:6" x14ac:dyDescent="0.3">
      <c r="C331" s="80" t="s">
        <v>332</v>
      </c>
      <c r="D331" s="80"/>
      <c r="E331" s="80" t="s">
        <v>423</v>
      </c>
      <c r="F331" s="80">
        <f t="shared" si="23"/>
        <v>0.97</v>
      </c>
    </row>
    <row r="332" spans="3:6" x14ac:dyDescent="0.3">
      <c r="C332" s="80" t="s">
        <v>333</v>
      </c>
      <c r="D332" s="80"/>
      <c r="E332" s="80" t="s">
        <v>423</v>
      </c>
      <c r="F332" s="80">
        <f t="shared" si="23"/>
        <v>0.97</v>
      </c>
    </row>
    <row r="333" spans="3:6" x14ac:dyDescent="0.3">
      <c r="C333" s="80" t="s">
        <v>334</v>
      </c>
      <c r="D333" s="80"/>
      <c r="E333" s="80" t="s">
        <v>465</v>
      </c>
      <c r="F333" s="80">
        <f t="shared" si="23"/>
        <v>1.3</v>
      </c>
    </row>
    <row r="334" spans="3:6" x14ac:dyDescent="0.3">
      <c r="C334" s="80" t="s">
        <v>335</v>
      </c>
      <c r="D334" s="80"/>
      <c r="E334" s="80" t="s">
        <v>430</v>
      </c>
      <c r="F334" s="80">
        <f t="shared" si="23"/>
        <v>0.92</v>
      </c>
    </row>
    <row r="335" spans="3:6" x14ac:dyDescent="0.3">
      <c r="C335" s="80" t="s">
        <v>336</v>
      </c>
      <c r="D335" s="80"/>
      <c r="E335" s="80" t="s">
        <v>435</v>
      </c>
      <c r="F335" s="80">
        <f t="shared" si="23"/>
        <v>1.1599999999999999</v>
      </c>
    </row>
    <row r="336" spans="3:6" x14ac:dyDescent="0.3">
      <c r="C336" s="80" t="s">
        <v>337</v>
      </c>
      <c r="D336" s="80"/>
      <c r="E336" s="80"/>
      <c r="F336" s="80" t="e">
        <f t="shared" si="23"/>
        <v>#N/A</v>
      </c>
    </row>
    <row r="337" spans="3:6" x14ac:dyDescent="0.3">
      <c r="C337" s="80" t="s">
        <v>338</v>
      </c>
      <c r="D337" s="80"/>
      <c r="E337" s="80" t="s">
        <v>477</v>
      </c>
      <c r="F337" s="80">
        <f t="shared" si="23"/>
        <v>1.1000000000000001</v>
      </c>
    </row>
    <row r="338" spans="3:6" x14ac:dyDescent="0.3">
      <c r="C338" s="80" t="s">
        <v>339</v>
      </c>
      <c r="D338" s="80"/>
      <c r="E338" s="80"/>
      <c r="F338" s="80" t="e">
        <f t="shared" si="23"/>
        <v>#N/A</v>
      </c>
    </row>
    <row r="339" spans="3:6" x14ac:dyDescent="0.3">
      <c r="C339" s="80" t="s">
        <v>340</v>
      </c>
      <c r="D339" s="80"/>
      <c r="E339" s="80" t="s">
        <v>487</v>
      </c>
      <c r="F339" s="80">
        <f t="shared" si="23"/>
        <v>0.95</v>
      </c>
    </row>
    <row r="340" spans="3:6" x14ac:dyDescent="0.3">
      <c r="C340" s="80" t="s">
        <v>341</v>
      </c>
      <c r="D340" s="80"/>
      <c r="E340" s="80" t="s">
        <v>466</v>
      </c>
      <c r="F340" s="80">
        <f t="shared" si="23"/>
        <v>1.21</v>
      </c>
    </row>
    <row r="341" spans="3:6" x14ac:dyDescent="0.3">
      <c r="C341" s="80" t="s">
        <v>342</v>
      </c>
      <c r="D341" s="80"/>
      <c r="E341" s="80" t="s">
        <v>467</v>
      </c>
      <c r="F341" s="80">
        <f t="shared" si="23"/>
        <v>1.34</v>
      </c>
    </row>
    <row r="342" spans="3:6" x14ac:dyDescent="0.3">
      <c r="C342" s="80" t="s">
        <v>343</v>
      </c>
      <c r="D342" s="80"/>
      <c r="E342" s="80" t="s">
        <v>419</v>
      </c>
      <c r="F342" s="80">
        <f t="shared" si="23"/>
        <v>0.92</v>
      </c>
    </row>
    <row r="343" spans="3:6" x14ac:dyDescent="0.3">
      <c r="C343" s="80" t="s">
        <v>344</v>
      </c>
      <c r="D343" s="80"/>
      <c r="E343" s="80"/>
      <c r="F343" s="80" t="e">
        <f t="shared" si="23"/>
        <v>#N/A</v>
      </c>
    </row>
    <row r="344" spans="3:6" x14ac:dyDescent="0.3">
      <c r="C344" s="80" t="s">
        <v>345</v>
      </c>
      <c r="D344" s="80"/>
      <c r="E344" s="80" t="s">
        <v>433</v>
      </c>
      <c r="F344" s="80">
        <f t="shared" si="23"/>
        <v>1.06</v>
      </c>
    </row>
    <row r="345" spans="3:6" x14ac:dyDescent="0.3">
      <c r="C345" s="80" t="s">
        <v>346</v>
      </c>
      <c r="D345" s="80"/>
      <c r="E345" s="80" t="s">
        <v>482</v>
      </c>
      <c r="F345" s="80">
        <f t="shared" si="23"/>
        <v>0.97</v>
      </c>
    </row>
    <row r="346" spans="3:6" x14ac:dyDescent="0.3">
      <c r="C346" s="80" t="s">
        <v>347</v>
      </c>
      <c r="D346" s="80"/>
      <c r="E346" s="80" t="s">
        <v>483</v>
      </c>
      <c r="F346" s="80">
        <f t="shared" si="23"/>
        <v>1.2</v>
      </c>
    </row>
    <row r="347" spans="3:6" x14ac:dyDescent="0.3">
      <c r="C347" s="80" t="s">
        <v>348</v>
      </c>
      <c r="D347" s="80"/>
      <c r="E347" s="80" t="s">
        <v>426</v>
      </c>
      <c r="F347" s="80">
        <f t="shared" si="23"/>
        <v>1.1599999999999999</v>
      </c>
    </row>
    <row r="348" spans="3:6" x14ac:dyDescent="0.3">
      <c r="C348" s="80" t="s">
        <v>349</v>
      </c>
      <c r="D348" s="80"/>
      <c r="E348" s="80" t="s">
        <v>474</v>
      </c>
      <c r="F348" s="80">
        <f t="shared" si="23"/>
        <v>1.02</v>
      </c>
    </row>
    <row r="349" spans="3:6" x14ac:dyDescent="0.3">
      <c r="C349" s="80" t="s">
        <v>350</v>
      </c>
      <c r="D349" s="80"/>
      <c r="E349" s="80" t="s">
        <v>433</v>
      </c>
      <c r="F349" s="80">
        <f t="shared" si="23"/>
        <v>1.06</v>
      </c>
    </row>
    <row r="350" spans="3:6" x14ac:dyDescent="0.3">
      <c r="C350" s="80" t="s">
        <v>351</v>
      </c>
      <c r="D350" s="80"/>
      <c r="E350" s="80" t="s">
        <v>416</v>
      </c>
      <c r="F350" s="80">
        <f t="shared" si="23"/>
        <v>1.1499999999999999</v>
      </c>
    </row>
    <row r="351" spans="3:6" x14ac:dyDescent="0.3">
      <c r="C351" s="80" t="s">
        <v>352</v>
      </c>
      <c r="D351" s="80"/>
      <c r="E351" s="80" t="s">
        <v>423</v>
      </c>
      <c r="F351" s="80">
        <f t="shared" si="23"/>
        <v>0.97</v>
      </c>
    </row>
    <row r="352" spans="3:6" x14ac:dyDescent="0.3">
      <c r="C352" s="80" t="s">
        <v>353</v>
      </c>
      <c r="D352" s="80"/>
      <c r="E352" s="80" t="s">
        <v>424</v>
      </c>
      <c r="F352" s="80">
        <f t="shared" si="23"/>
        <v>0.99</v>
      </c>
    </row>
    <row r="353" spans="3:6" x14ac:dyDescent="0.3">
      <c r="C353" s="80" t="s">
        <v>354</v>
      </c>
      <c r="D353" s="80"/>
      <c r="E353" s="80" t="s">
        <v>436</v>
      </c>
      <c r="F353" s="80">
        <f t="shared" si="23"/>
        <v>0.92</v>
      </c>
    </row>
    <row r="354" spans="3:6" x14ac:dyDescent="0.3">
      <c r="C354" s="80" t="s">
        <v>355</v>
      </c>
      <c r="D354" s="80"/>
      <c r="E354" s="80" t="s">
        <v>469</v>
      </c>
      <c r="F354" s="80">
        <f t="shared" si="23"/>
        <v>0.97</v>
      </c>
    </row>
    <row r="355" spans="3:6" x14ac:dyDescent="0.3">
      <c r="C355" s="80" t="s">
        <v>356</v>
      </c>
      <c r="D355" s="80"/>
      <c r="E355" s="80" t="s">
        <v>477</v>
      </c>
      <c r="F355" s="80">
        <f t="shared" si="23"/>
        <v>1.1000000000000001</v>
      </c>
    </row>
    <row r="356" spans="3:6" x14ac:dyDescent="0.3">
      <c r="C356" s="80" t="s">
        <v>357</v>
      </c>
      <c r="D356" s="80"/>
      <c r="E356" s="80" t="s">
        <v>479</v>
      </c>
      <c r="F356" s="80">
        <f t="shared" si="23"/>
        <v>0.96</v>
      </c>
    </row>
    <row r="357" spans="3:6" x14ac:dyDescent="0.3">
      <c r="C357" s="80" t="s">
        <v>358</v>
      </c>
      <c r="D357" s="80"/>
      <c r="E357" s="80" t="s">
        <v>424</v>
      </c>
      <c r="F357" s="80">
        <f t="shared" si="23"/>
        <v>0.99</v>
      </c>
    </row>
    <row r="358" spans="3:6" x14ac:dyDescent="0.3">
      <c r="C358" s="80" t="s">
        <v>359</v>
      </c>
      <c r="D358" s="80"/>
      <c r="E358" s="80" t="s">
        <v>430</v>
      </c>
      <c r="F358" s="80">
        <f t="shared" si="23"/>
        <v>0.92</v>
      </c>
    </row>
    <row r="359" spans="3:6" x14ac:dyDescent="0.3">
      <c r="C359" s="80" t="s">
        <v>360</v>
      </c>
      <c r="D359" s="80"/>
      <c r="E359" s="80" t="s">
        <v>360</v>
      </c>
      <c r="F359" s="80">
        <f t="shared" ref="F359:F374" si="24">LOOKUP(E359,$I$39:$I$119,$K$39:$K$119)</f>
        <v>0.98</v>
      </c>
    </row>
    <row r="360" spans="3:6" x14ac:dyDescent="0.3">
      <c r="C360" s="80" t="s">
        <v>361</v>
      </c>
      <c r="D360" s="80"/>
      <c r="E360" s="80" t="s">
        <v>431</v>
      </c>
      <c r="F360" s="80">
        <f t="shared" si="24"/>
        <v>1.1100000000000001</v>
      </c>
    </row>
    <row r="361" spans="3:6" x14ac:dyDescent="0.3">
      <c r="C361" s="80" t="s">
        <v>362</v>
      </c>
      <c r="D361" s="80"/>
      <c r="E361" s="80" t="s">
        <v>416</v>
      </c>
      <c r="F361" s="80">
        <f t="shared" si="24"/>
        <v>1.1499999999999999</v>
      </c>
    </row>
    <row r="362" spans="3:6" x14ac:dyDescent="0.3">
      <c r="C362" s="80" t="s">
        <v>363</v>
      </c>
      <c r="D362" s="80"/>
      <c r="E362" s="80" t="s">
        <v>470</v>
      </c>
      <c r="F362" s="80">
        <f t="shared" si="24"/>
        <v>0.92</v>
      </c>
    </row>
    <row r="363" spans="3:6" x14ac:dyDescent="0.3">
      <c r="C363" s="80" t="s">
        <v>364</v>
      </c>
      <c r="D363" s="80"/>
      <c r="E363" s="80" t="s">
        <v>483</v>
      </c>
      <c r="F363" s="80">
        <f t="shared" si="24"/>
        <v>1.2</v>
      </c>
    </row>
    <row r="364" spans="3:6" x14ac:dyDescent="0.3">
      <c r="C364" s="80" t="s">
        <v>365</v>
      </c>
      <c r="D364" s="80"/>
      <c r="E364" s="80" t="s">
        <v>416</v>
      </c>
      <c r="F364" s="80">
        <f t="shared" si="24"/>
        <v>1.1499999999999999</v>
      </c>
    </row>
    <row r="365" spans="3:6" x14ac:dyDescent="0.3">
      <c r="C365" s="80" t="s">
        <v>366</v>
      </c>
      <c r="D365" s="80"/>
      <c r="E365" s="80" t="s">
        <v>487</v>
      </c>
      <c r="F365" s="80">
        <f t="shared" si="24"/>
        <v>0.95</v>
      </c>
    </row>
    <row r="366" spans="3:6" x14ac:dyDescent="0.3">
      <c r="C366" s="80" t="s">
        <v>367</v>
      </c>
      <c r="D366" s="80"/>
      <c r="E366" s="80"/>
      <c r="F366" s="80" t="e">
        <f t="shared" si="24"/>
        <v>#N/A</v>
      </c>
    </row>
    <row r="367" spans="3:6" x14ac:dyDescent="0.3">
      <c r="C367" s="80" t="s">
        <v>368</v>
      </c>
      <c r="D367" s="80"/>
      <c r="E367" s="80" t="s">
        <v>488</v>
      </c>
      <c r="F367" s="80">
        <f t="shared" si="24"/>
        <v>1.1499999999999999</v>
      </c>
    </row>
    <row r="368" spans="3:6" x14ac:dyDescent="0.3">
      <c r="C368" s="80" t="s">
        <v>369</v>
      </c>
      <c r="D368" s="80"/>
      <c r="E368" s="80"/>
      <c r="F368" s="80" t="e">
        <f t="shared" si="24"/>
        <v>#N/A</v>
      </c>
    </row>
    <row r="369" spans="3:6" x14ac:dyDescent="0.3">
      <c r="C369" s="80" t="s">
        <v>370</v>
      </c>
      <c r="D369" s="80"/>
      <c r="E369" s="80" t="s">
        <v>417</v>
      </c>
      <c r="F369" s="80">
        <f t="shared" si="24"/>
        <v>1.1299999999999999</v>
      </c>
    </row>
    <row r="370" spans="3:6" x14ac:dyDescent="0.3">
      <c r="C370" s="80" t="s">
        <v>371</v>
      </c>
      <c r="D370" s="80"/>
      <c r="E370" s="80" t="s">
        <v>436</v>
      </c>
      <c r="F370" s="80">
        <f t="shared" si="24"/>
        <v>0.92</v>
      </c>
    </row>
    <row r="371" spans="3:6" x14ac:dyDescent="0.3">
      <c r="C371" s="80" t="s">
        <v>372</v>
      </c>
      <c r="D371" s="80"/>
      <c r="E371" s="80"/>
      <c r="F371" s="80" t="e">
        <f t="shared" si="24"/>
        <v>#N/A</v>
      </c>
    </row>
    <row r="372" spans="3:6" x14ac:dyDescent="0.3">
      <c r="C372" s="80" t="s">
        <v>373</v>
      </c>
      <c r="D372" s="80"/>
      <c r="E372" s="80" t="s">
        <v>473</v>
      </c>
      <c r="F372" s="80">
        <f t="shared" si="24"/>
        <v>0.95</v>
      </c>
    </row>
    <row r="373" spans="3:6" x14ac:dyDescent="0.3">
      <c r="C373" s="80" t="s">
        <v>374</v>
      </c>
      <c r="D373" s="80"/>
      <c r="E373" s="80"/>
      <c r="F373" s="80" t="e">
        <f t="shared" si="24"/>
        <v>#N/A</v>
      </c>
    </row>
    <row r="374" spans="3:6" x14ac:dyDescent="0.3">
      <c r="C374" s="80" t="s">
        <v>380</v>
      </c>
      <c r="D374" s="80"/>
      <c r="E374" s="80"/>
      <c r="F374" s="80" t="e">
        <f t="shared" si="24"/>
        <v>#N/A</v>
      </c>
    </row>
  </sheetData>
  <sheetProtection algorithmName="SHA-512" hashValue="3o/uYS/POuMpSslfZIt8WRod/QiSUN7cCH6qfOV+E2dQeE+4EV0Nojez3wf9ngg5Z9OYgAQ162PMbNAaICQKqA==" saltValue="OR9C54GBCJ21575+IBSKfA==" spinCount="100000" sheet="1" objects="1" scenarios="1"/>
  <mergeCells count="7">
    <mergeCell ref="V4:X4"/>
    <mergeCell ref="S34:X34"/>
    <mergeCell ref="B2:F2"/>
    <mergeCell ref="E4:F4"/>
    <mergeCell ref="H4:I4"/>
    <mergeCell ref="K4:N4"/>
    <mergeCell ref="S4:T4"/>
  </mergeCells>
  <dataValidations count="1">
    <dataValidation type="list" allowBlank="1" showInputMessage="1" showErrorMessage="1" sqref="E38:E374">
      <formula1>$I$39:$I$119</formula1>
    </dataValidation>
  </dataValidations>
  <hyperlinks>
    <hyperlink ref="S33" r:id="rId1" display="costs SE Facilities Costs Second Quarter 2016 "/>
    <hyperlink ref="S34" r:id="rId2"/>
  </hyperlinks>
  <pageMargins left="0.70866141732283472" right="0.70866141732283472" top="0.74803149606299213" bottom="0.74803149606299213" header="0.31496062992125984" footer="0.31496062992125984"/>
  <pageSetup paperSize="8" scale="77"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CDateModified xmlns="http://schemas.microsoft.com/sharepoint/v3/fields" xsi:nil="true"/>
    <KpiDescription xmlns="http://schemas.microsoft.com/sharepoint/v3" xsi:nil="true"/>
    <_DCDateCreated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42DDE679718E4A885D1EB4689E203F" ma:contentTypeVersion="4" ma:contentTypeDescription="Create a new document." ma:contentTypeScope="" ma:versionID="b88d18df9978882bf6840db1007518b0">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97da806e222be59b9a8100007d4f21ab" ns1:_="" ns2:_="">
    <xsd:import namespace="http://schemas.microsoft.com/sharepoint/v3"/>
    <xsd:import namespace="http://schemas.microsoft.com/sharepoint/v3/fields"/>
    <xsd:element name="properties">
      <xsd:complexType>
        <xsd:sequence>
          <xsd:element name="documentManagement">
            <xsd:complexType>
              <xsd:all>
                <xsd:element ref="ns2:_DCDateModified" minOccurs="0"/>
                <xsd:element ref="ns1:KpiDescription" minOccurs="0"/>
                <xsd:element ref="ns2:_Version"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9"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8" nillable="true" ma:displayName="Date Modified" ma:description="The date on which this resource was last modified" ma:format="DateTime" ma:internalName="_DCDateModified">
      <xsd:simpleType>
        <xsd:restriction base="dms:DateTime"/>
      </xsd:simpleType>
    </xsd:element>
    <xsd:element name="_Version" ma:index="10" nillable="true" ma:displayName="Version" ma:internalName="_Version">
      <xsd:simpleType>
        <xsd:restriction base="dms:Text"/>
      </xsd:simpleType>
    </xsd:element>
    <xsd:element name="_DCDateCreated" ma:index="11"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AFB6D-6EB9-4949-B8BB-630A479F12B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54333879-F073-49AD-8EB9-EDF11A84B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46F25-C13F-4A2B-8719-FB7E199507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Calculator</vt:lpstr>
      <vt:lpstr>PPS Data</vt:lpstr>
      <vt:lpstr>Explanation</vt:lpstr>
      <vt:lpstr>Workings</vt:lpstr>
      <vt:lpstr>Calculator!Print_Area</vt:lpstr>
      <vt:lpstr>Cover!Print_Area</vt:lpstr>
      <vt:lpstr>Explanation!Print_Area</vt:lpstr>
      <vt:lpstr>'PPS Data'!Print_Area</vt:lpstr>
    </vt:vector>
  </TitlesOfParts>
  <Company>Sport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Feetam</dc:creator>
  <cp:lastModifiedBy>John Rowley</cp:lastModifiedBy>
  <cp:lastPrinted>2016-05-09T14:30:34Z</cp:lastPrinted>
  <dcterms:created xsi:type="dcterms:W3CDTF">2016-01-25T10:24:03Z</dcterms:created>
  <dcterms:modified xsi:type="dcterms:W3CDTF">2021-08-24T10:25:20Z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0x0101004E42DDE679718E4A885D1EB4689E203F</vt:lpwstr>
  </property>
</Properties>
</file>